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timwork\Desktop\"/>
    </mc:Choice>
  </mc:AlternateContent>
  <xr:revisionPtr revIDLastSave="0" documentId="13_ncr:1_{59E79A42-C9F2-463A-8AD8-5F0279F3CA29}" xr6:coauthVersionLast="36" xr6:coauthVersionMax="36" xr10:uidLastSave="{00000000-0000-0000-0000-000000000000}"/>
  <bookViews>
    <workbookView xWindow="0" yWindow="0" windowWidth="40755" windowHeight="11400" xr2:uid="{1FD97711-3000-489C-B49B-AFA3297A0E6D}"/>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768" i="1" l="1"/>
  <c r="AG768" i="1"/>
  <c r="AF768" i="1"/>
  <c r="AE768" i="1"/>
  <c r="AB768" i="1"/>
  <c r="AA768" i="1"/>
  <c r="Z768" i="1"/>
  <c r="Y768" i="1"/>
  <c r="V768" i="1"/>
  <c r="U768" i="1"/>
  <c r="T768" i="1"/>
  <c r="S768" i="1"/>
  <c r="P768" i="1"/>
  <c r="O768" i="1"/>
  <c r="N768" i="1"/>
  <c r="M768" i="1"/>
  <c r="AH759" i="1"/>
  <c r="AG759" i="1"/>
  <c r="AF759" i="1"/>
  <c r="AE759" i="1"/>
  <c r="AB759" i="1"/>
  <c r="AA759" i="1"/>
  <c r="Z759" i="1"/>
  <c r="Y759" i="1"/>
  <c r="V759" i="1"/>
  <c r="U759" i="1"/>
  <c r="T759" i="1"/>
  <c r="S759" i="1"/>
  <c r="P759" i="1"/>
  <c r="O759" i="1"/>
  <c r="N759" i="1"/>
  <c r="M759" i="1"/>
  <c r="AH758" i="1"/>
  <c r="AG758" i="1"/>
  <c r="AF758" i="1"/>
  <c r="AE758" i="1"/>
  <c r="AB758" i="1"/>
  <c r="AA758" i="1"/>
  <c r="Z758" i="1"/>
  <c r="Y758" i="1"/>
  <c r="V758" i="1"/>
  <c r="U758" i="1"/>
  <c r="T758" i="1"/>
  <c r="S758" i="1"/>
  <c r="P758" i="1"/>
  <c r="O758" i="1"/>
  <c r="N758" i="1"/>
  <c r="M758" i="1"/>
  <c r="AH709" i="1"/>
  <c r="AG709" i="1"/>
  <c r="AF709" i="1"/>
  <c r="AE709" i="1"/>
  <c r="AB709" i="1"/>
  <c r="AA709" i="1"/>
  <c r="Z709" i="1"/>
  <c r="Y709" i="1"/>
  <c r="V709" i="1"/>
  <c r="U709" i="1"/>
  <c r="T709" i="1"/>
  <c r="S709" i="1"/>
  <c r="P709" i="1"/>
  <c r="O709" i="1"/>
  <c r="N709" i="1"/>
  <c r="M709" i="1"/>
  <c r="AH691" i="1"/>
  <c r="AG691" i="1"/>
  <c r="AF691" i="1"/>
  <c r="AE691" i="1"/>
  <c r="AB691" i="1"/>
  <c r="AA691" i="1"/>
  <c r="Z691" i="1"/>
  <c r="Y691" i="1"/>
  <c r="V691" i="1"/>
  <c r="U691" i="1"/>
  <c r="T691" i="1"/>
  <c r="S691" i="1"/>
  <c r="P691" i="1"/>
  <c r="O691" i="1"/>
  <c r="N691" i="1"/>
  <c r="M691" i="1"/>
  <c r="AH686" i="1"/>
  <c r="AG686" i="1"/>
  <c r="AF686" i="1"/>
  <c r="AE686" i="1"/>
  <c r="AB686" i="1"/>
  <c r="AA686" i="1"/>
  <c r="Z686" i="1"/>
  <c r="Y686" i="1"/>
  <c r="V686" i="1"/>
  <c r="U686" i="1"/>
  <c r="T686" i="1"/>
  <c r="S686" i="1"/>
  <c r="P686" i="1"/>
  <c r="O686" i="1"/>
  <c r="N686" i="1"/>
  <c r="M686" i="1"/>
  <c r="AH648" i="1"/>
  <c r="AG648" i="1"/>
  <c r="AF648" i="1"/>
  <c r="AE648" i="1"/>
  <c r="AB648" i="1"/>
  <c r="AA648" i="1"/>
  <c r="Z648" i="1"/>
  <c r="Y648" i="1"/>
  <c r="V648" i="1"/>
  <c r="U648" i="1"/>
  <c r="T648" i="1"/>
  <c r="S648" i="1"/>
  <c r="P648" i="1"/>
  <c r="O648" i="1"/>
  <c r="N648" i="1"/>
  <c r="M648" i="1"/>
  <c r="AH642" i="1"/>
  <c r="AF642" i="1"/>
  <c r="AC642" i="1"/>
  <c r="AE642" i="1" s="1"/>
  <c r="AB642" i="1"/>
  <c r="Z642" i="1"/>
  <c r="W642" i="1"/>
  <c r="AA642" i="1" s="1"/>
  <c r="V642" i="1"/>
  <c r="T642" i="1"/>
  <c r="Q642" i="1"/>
  <c r="S642" i="1" s="1"/>
  <c r="P642" i="1"/>
  <c r="N642" i="1"/>
  <c r="K642" i="1"/>
  <c r="O642" i="1" s="1"/>
  <c r="AH641" i="1"/>
  <c r="AG641" i="1"/>
  <c r="AF641" i="1"/>
  <c r="AE641" i="1"/>
  <c r="AB641" i="1"/>
  <c r="AA641" i="1"/>
  <c r="Z641" i="1"/>
  <c r="Y641" i="1"/>
  <c r="V641" i="1"/>
  <c r="U641" i="1"/>
  <c r="T641" i="1"/>
  <c r="S641" i="1"/>
  <c r="P641" i="1"/>
  <c r="O641" i="1"/>
  <c r="N641" i="1"/>
  <c r="M641" i="1"/>
  <c r="AH639" i="1"/>
  <c r="AG639" i="1"/>
  <c r="AF639" i="1"/>
  <c r="AE639" i="1"/>
  <c r="AB639" i="1"/>
  <c r="AA639" i="1"/>
  <c r="Z639" i="1"/>
  <c r="Y639" i="1"/>
  <c r="V639" i="1"/>
  <c r="U639" i="1"/>
  <c r="T639" i="1"/>
  <c r="S639" i="1"/>
  <c r="P639" i="1"/>
  <c r="O639" i="1"/>
  <c r="N639" i="1"/>
  <c r="M639" i="1"/>
  <c r="AG637" i="1"/>
  <c r="AE637" i="1"/>
  <c r="AA637" i="1"/>
  <c r="Y637" i="1"/>
  <c r="V637" i="1"/>
  <c r="U637" i="1"/>
  <c r="T637" i="1"/>
  <c r="S637" i="1"/>
  <c r="P637" i="1"/>
  <c r="O637" i="1"/>
  <c r="N637" i="1"/>
  <c r="M637" i="1"/>
  <c r="AH635" i="1"/>
  <c r="AG635" i="1"/>
  <c r="AF635" i="1"/>
  <c r="AE635" i="1"/>
  <c r="AB635" i="1"/>
  <c r="AA635" i="1"/>
  <c r="Z635" i="1"/>
  <c r="Y635" i="1"/>
  <c r="V635" i="1"/>
  <c r="U635" i="1"/>
  <c r="T635" i="1"/>
  <c r="S635" i="1"/>
  <c r="P635" i="1"/>
  <c r="O635" i="1"/>
  <c r="N635" i="1"/>
  <c r="M635" i="1"/>
  <c r="AH630" i="1"/>
  <c r="AG630" i="1"/>
  <c r="AF630" i="1"/>
  <c r="AE630" i="1"/>
  <c r="AB630" i="1"/>
  <c r="AA630" i="1"/>
  <c r="Z630" i="1"/>
  <c r="Y630" i="1"/>
  <c r="V630" i="1"/>
  <c r="U630" i="1"/>
  <c r="T630" i="1"/>
  <c r="S630" i="1"/>
  <c r="P630" i="1"/>
  <c r="O630" i="1"/>
  <c r="N630" i="1"/>
  <c r="M630" i="1"/>
  <c r="AH629" i="1"/>
  <c r="AG629" i="1"/>
  <c r="AF629" i="1"/>
  <c r="AE629" i="1"/>
  <c r="AB629" i="1"/>
  <c r="AA629" i="1"/>
  <c r="Z629" i="1"/>
  <c r="Y629" i="1"/>
  <c r="V629" i="1"/>
  <c r="U629" i="1"/>
  <c r="T629" i="1"/>
  <c r="S629" i="1"/>
  <c r="P629" i="1"/>
  <c r="O629" i="1"/>
  <c r="N629" i="1"/>
  <c r="M629" i="1"/>
  <c r="AH627" i="1"/>
  <c r="AG627" i="1"/>
  <c r="AF627" i="1"/>
  <c r="AE627" i="1"/>
  <c r="AB627" i="1"/>
  <c r="AA627" i="1"/>
  <c r="Z627" i="1"/>
  <c r="Y627" i="1"/>
  <c r="V627" i="1"/>
  <c r="U627" i="1"/>
  <c r="T627" i="1"/>
  <c r="S627" i="1"/>
  <c r="P627" i="1"/>
  <c r="O627" i="1"/>
  <c r="N627" i="1"/>
  <c r="M627" i="1"/>
  <c r="AH623" i="1"/>
  <c r="AG623" i="1"/>
  <c r="AF623" i="1"/>
  <c r="AE623" i="1"/>
  <c r="AB623" i="1"/>
  <c r="AA623" i="1"/>
  <c r="Z623" i="1"/>
  <c r="Y623" i="1"/>
  <c r="V623" i="1"/>
  <c r="U623" i="1"/>
  <c r="T623" i="1"/>
  <c r="S623" i="1"/>
  <c r="P623" i="1"/>
  <c r="O623" i="1"/>
  <c r="N623" i="1"/>
  <c r="M623" i="1"/>
  <c r="AH622" i="1"/>
  <c r="AG622" i="1"/>
  <c r="AF622" i="1"/>
  <c r="AE622" i="1"/>
  <c r="AB622" i="1"/>
  <c r="AA622" i="1"/>
  <c r="Z622" i="1"/>
  <c r="Y622" i="1"/>
  <c r="V622" i="1"/>
  <c r="U622" i="1"/>
  <c r="T622" i="1"/>
  <c r="S622" i="1"/>
  <c r="P622" i="1"/>
  <c r="O622" i="1"/>
  <c r="N622" i="1"/>
  <c r="M622" i="1"/>
  <c r="AH621" i="1"/>
  <c r="AG621" i="1"/>
  <c r="AF621" i="1"/>
  <c r="AE621" i="1"/>
  <c r="AB621" i="1"/>
  <c r="AA621" i="1"/>
  <c r="Z621" i="1"/>
  <c r="Y621" i="1"/>
  <c r="V621" i="1"/>
  <c r="U621" i="1"/>
  <c r="T621" i="1"/>
  <c r="S621" i="1"/>
  <c r="P621" i="1"/>
  <c r="O621" i="1"/>
  <c r="N621" i="1"/>
  <c r="M621" i="1"/>
  <c r="AH620" i="1"/>
  <c r="AF620" i="1"/>
  <c r="AC620" i="1"/>
  <c r="AG620" i="1" s="1"/>
  <c r="AB620" i="1"/>
  <c r="Z620" i="1"/>
  <c r="W620" i="1"/>
  <c r="Y620" i="1" s="1"/>
  <c r="V620" i="1"/>
  <c r="T620" i="1"/>
  <c r="Q620" i="1"/>
  <c r="S620" i="1" s="1"/>
  <c r="P620" i="1"/>
  <c r="N620" i="1"/>
  <c r="K620" i="1"/>
  <c r="M620" i="1" s="1"/>
  <c r="AH619" i="1"/>
  <c r="AG619" i="1"/>
  <c r="AF619" i="1"/>
  <c r="AE619" i="1"/>
  <c r="AA619" i="1"/>
  <c r="Y619" i="1"/>
  <c r="U619" i="1"/>
  <c r="S619" i="1"/>
  <c r="P619" i="1"/>
  <c r="O619" i="1"/>
  <c r="N619" i="1"/>
  <c r="M619" i="1"/>
  <c r="AH608" i="1"/>
  <c r="AG608" i="1"/>
  <c r="AF608" i="1"/>
  <c r="AE608" i="1"/>
  <c r="AB608" i="1"/>
  <c r="AA608" i="1"/>
  <c r="Z608" i="1"/>
  <c r="Y608" i="1"/>
  <c r="V608" i="1"/>
  <c r="U608" i="1"/>
  <c r="T608" i="1"/>
  <c r="S608" i="1"/>
  <c r="P608" i="1"/>
  <c r="O608" i="1"/>
  <c r="N608" i="1"/>
  <c r="M608" i="1"/>
  <c r="AH605" i="1"/>
  <c r="AG605" i="1"/>
  <c r="AF605" i="1"/>
  <c r="AE605" i="1"/>
  <c r="AB605" i="1"/>
  <c r="AA605" i="1"/>
  <c r="Z605" i="1"/>
  <c r="Y605" i="1"/>
  <c r="V605" i="1"/>
  <c r="U605" i="1"/>
  <c r="T605" i="1"/>
  <c r="S605" i="1"/>
  <c r="P605" i="1"/>
  <c r="O605" i="1"/>
  <c r="N605" i="1"/>
  <c r="M605" i="1"/>
  <c r="AG603" i="1"/>
  <c r="AE603" i="1"/>
  <c r="AB603" i="1"/>
  <c r="AA603" i="1"/>
  <c r="Z603" i="1"/>
  <c r="Y603" i="1"/>
  <c r="V603" i="1"/>
  <c r="U603" i="1"/>
  <c r="T603" i="1"/>
  <c r="S603" i="1"/>
  <c r="P603" i="1"/>
  <c r="O603" i="1"/>
  <c r="N603" i="1"/>
  <c r="M603" i="1"/>
  <c r="AG600" i="1"/>
  <c r="AE600" i="1"/>
  <c r="AA600" i="1"/>
  <c r="Y600" i="1"/>
  <c r="V600" i="1"/>
  <c r="U600" i="1"/>
  <c r="T600" i="1"/>
  <c r="S600" i="1"/>
  <c r="P600" i="1"/>
  <c r="O600" i="1"/>
  <c r="N600" i="1"/>
  <c r="M600" i="1"/>
  <c r="AG599" i="1"/>
  <c r="AE599" i="1"/>
  <c r="AB599" i="1"/>
  <c r="AA599" i="1"/>
  <c r="Z599" i="1"/>
  <c r="Y599" i="1"/>
  <c r="V599" i="1"/>
  <c r="U599" i="1"/>
  <c r="T599" i="1"/>
  <c r="S599" i="1"/>
  <c r="P599" i="1"/>
  <c r="O599" i="1"/>
  <c r="N599" i="1"/>
  <c r="M599" i="1"/>
  <c r="AH595" i="1"/>
  <c r="AG595" i="1"/>
  <c r="AF595" i="1"/>
  <c r="AE595" i="1"/>
  <c r="AB595" i="1"/>
  <c r="AA595" i="1"/>
  <c r="Z595" i="1"/>
  <c r="Y595" i="1"/>
  <c r="V595" i="1"/>
  <c r="U595" i="1"/>
  <c r="T595" i="1"/>
  <c r="S595" i="1"/>
  <c r="P595" i="1"/>
  <c r="O595" i="1"/>
  <c r="N595" i="1"/>
  <c r="M595" i="1"/>
  <c r="AH593" i="1"/>
  <c r="AG593" i="1"/>
  <c r="AF593" i="1"/>
  <c r="AE593" i="1"/>
  <c r="AB593" i="1"/>
  <c r="AA593" i="1"/>
  <c r="Z593" i="1"/>
  <c r="Y593" i="1"/>
  <c r="V593" i="1"/>
  <c r="U593" i="1"/>
  <c r="T593" i="1"/>
  <c r="S593" i="1"/>
  <c r="P593" i="1"/>
  <c r="O593" i="1"/>
  <c r="N593" i="1"/>
  <c r="M593" i="1"/>
  <c r="AG589" i="1"/>
  <c r="AE589" i="1"/>
  <c r="AA589" i="1"/>
  <c r="Y589" i="1"/>
  <c r="V589" i="1"/>
  <c r="U589" i="1"/>
  <c r="T589" i="1"/>
  <c r="S589" i="1"/>
  <c r="P589" i="1"/>
  <c r="O589" i="1"/>
  <c r="N589" i="1"/>
  <c r="M589" i="1"/>
  <c r="AG588" i="1"/>
  <c r="AE588" i="1"/>
  <c r="AA588" i="1"/>
  <c r="Y588" i="1"/>
  <c r="V588" i="1"/>
  <c r="U588" i="1"/>
  <c r="T588" i="1"/>
  <c r="S588" i="1"/>
  <c r="P588" i="1"/>
  <c r="O588" i="1"/>
  <c r="N588" i="1"/>
  <c r="M588" i="1"/>
  <c r="AG586" i="1"/>
  <c r="AE586" i="1"/>
  <c r="AB586" i="1"/>
  <c r="AA586" i="1"/>
  <c r="Z586" i="1"/>
  <c r="Y586" i="1"/>
  <c r="V586" i="1"/>
  <c r="U586" i="1"/>
  <c r="T586" i="1"/>
  <c r="S586" i="1"/>
  <c r="P586" i="1"/>
  <c r="O586" i="1"/>
  <c r="N586" i="1"/>
  <c r="M586" i="1"/>
  <c r="AH583" i="1"/>
  <c r="AG583" i="1"/>
  <c r="AF583" i="1"/>
  <c r="AE583" i="1"/>
  <c r="AB583" i="1"/>
  <c r="AA583" i="1"/>
  <c r="Z583" i="1"/>
  <c r="Y583" i="1"/>
  <c r="V583" i="1"/>
  <c r="U583" i="1"/>
  <c r="T583" i="1"/>
  <c r="S583" i="1"/>
  <c r="P583" i="1"/>
  <c r="O583" i="1"/>
  <c r="N583" i="1"/>
  <c r="M583" i="1"/>
  <c r="AH577" i="1"/>
  <c r="AG577" i="1"/>
  <c r="AF577" i="1"/>
  <c r="AE577" i="1"/>
  <c r="AB577" i="1"/>
  <c r="AA577" i="1"/>
  <c r="Z577" i="1"/>
  <c r="Y577" i="1"/>
  <c r="V577" i="1"/>
  <c r="U577" i="1"/>
  <c r="T577" i="1"/>
  <c r="S577" i="1"/>
  <c r="P577" i="1"/>
  <c r="O577" i="1"/>
  <c r="N577" i="1"/>
  <c r="M577" i="1"/>
  <c r="AH550" i="1"/>
  <c r="AG550" i="1"/>
  <c r="AF550" i="1"/>
  <c r="AE550" i="1"/>
  <c r="AB550" i="1"/>
  <c r="AA550" i="1"/>
  <c r="Z550" i="1"/>
  <c r="Y550" i="1"/>
  <c r="V550" i="1"/>
  <c r="U550" i="1"/>
  <c r="T550" i="1"/>
  <c r="S550" i="1"/>
  <c r="P550" i="1"/>
  <c r="O550" i="1"/>
  <c r="N550" i="1"/>
  <c r="M550" i="1"/>
  <c r="AH532" i="1"/>
  <c r="AG532" i="1"/>
  <c r="AF532" i="1"/>
  <c r="AE532" i="1"/>
  <c r="AA532" i="1"/>
  <c r="Y532" i="1"/>
  <c r="V532" i="1"/>
  <c r="U532" i="1"/>
  <c r="T532" i="1"/>
  <c r="S532" i="1"/>
  <c r="P532" i="1"/>
  <c r="O532" i="1"/>
  <c r="N532" i="1"/>
  <c r="M532" i="1"/>
  <c r="AF529" i="1"/>
  <c r="AE529" i="1"/>
  <c r="Z529" i="1"/>
  <c r="Y529" i="1"/>
  <c r="T529" i="1"/>
  <c r="S529" i="1"/>
  <c r="N529" i="1"/>
  <c r="M529" i="1"/>
  <c r="AG527" i="1"/>
  <c r="AE527" i="1"/>
  <c r="AA527" i="1"/>
  <c r="Y527" i="1"/>
  <c r="V527" i="1"/>
  <c r="U527" i="1"/>
  <c r="T527" i="1"/>
  <c r="S527" i="1"/>
  <c r="P527" i="1"/>
  <c r="O527" i="1"/>
  <c r="N527" i="1"/>
  <c r="M527" i="1"/>
  <c r="AH526" i="1"/>
  <c r="AG526" i="1"/>
  <c r="AF526" i="1"/>
  <c r="AE526" i="1"/>
  <c r="AB526" i="1"/>
  <c r="AA526" i="1"/>
  <c r="Z526" i="1"/>
  <c r="Y526" i="1"/>
  <c r="V526" i="1"/>
  <c r="U526" i="1"/>
  <c r="T526" i="1"/>
  <c r="S526" i="1"/>
  <c r="P526" i="1"/>
  <c r="O526" i="1"/>
  <c r="N526" i="1"/>
  <c r="M526" i="1"/>
  <c r="AG525" i="1"/>
  <c r="AE525" i="1"/>
  <c r="AA525" i="1"/>
  <c r="Y525" i="1"/>
  <c r="V525" i="1"/>
  <c r="U525" i="1"/>
  <c r="T525" i="1"/>
  <c r="S525" i="1"/>
  <c r="P525" i="1"/>
  <c r="O525" i="1"/>
  <c r="N525" i="1"/>
  <c r="M525" i="1"/>
  <c r="AH516" i="1"/>
  <c r="AG516" i="1"/>
  <c r="AF516" i="1"/>
  <c r="AE516" i="1"/>
  <c r="AB516" i="1"/>
  <c r="AA516" i="1"/>
  <c r="Z516" i="1"/>
  <c r="Y516" i="1"/>
  <c r="V516" i="1"/>
  <c r="U516" i="1"/>
  <c r="T516" i="1"/>
  <c r="S516" i="1"/>
  <c r="P516" i="1"/>
  <c r="O516" i="1"/>
  <c r="N516" i="1"/>
  <c r="M516" i="1"/>
  <c r="AH514" i="1"/>
  <c r="AG514" i="1"/>
  <c r="AF514" i="1"/>
  <c r="AE514" i="1"/>
  <c r="AB514" i="1"/>
  <c r="AA514" i="1"/>
  <c r="Z514" i="1"/>
  <c r="Y514" i="1"/>
  <c r="V514" i="1"/>
  <c r="U514" i="1"/>
  <c r="T514" i="1"/>
  <c r="S514" i="1"/>
  <c r="P514" i="1"/>
  <c r="O514" i="1"/>
  <c r="N514" i="1"/>
  <c r="M514" i="1"/>
  <c r="AH513" i="1"/>
  <c r="AG513" i="1"/>
  <c r="AF513" i="1"/>
  <c r="AE513" i="1"/>
  <c r="AB513" i="1"/>
  <c r="AA513" i="1"/>
  <c r="Z513" i="1"/>
  <c r="Y513" i="1"/>
  <c r="V513" i="1"/>
  <c r="U513" i="1"/>
  <c r="T513" i="1"/>
  <c r="S513" i="1"/>
  <c r="P513" i="1"/>
  <c r="O513" i="1"/>
  <c r="N513" i="1"/>
  <c r="M513" i="1"/>
  <c r="AH512" i="1"/>
  <c r="AG512" i="1"/>
  <c r="AF512" i="1"/>
  <c r="AE512" i="1"/>
  <c r="AB512" i="1"/>
  <c r="AA512" i="1"/>
  <c r="Z512" i="1"/>
  <c r="Y512" i="1"/>
  <c r="U512" i="1"/>
  <c r="S512" i="1"/>
  <c r="P512" i="1"/>
  <c r="O512" i="1"/>
  <c r="N512" i="1"/>
  <c r="M512" i="1"/>
  <c r="AH506" i="1"/>
  <c r="AG506" i="1"/>
  <c r="AF506" i="1"/>
  <c r="AE506" i="1"/>
  <c r="AA506" i="1"/>
  <c r="Y506" i="1"/>
  <c r="U506" i="1"/>
  <c r="S506" i="1"/>
  <c r="P506" i="1"/>
  <c r="O506" i="1"/>
  <c r="N506" i="1"/>
  <c r="M506" i="1"/>
  <c r="AH505" i="1"/>
  <c r="AG505" i="1"/>
  <c r="AF505" i="1"/>
  <c r="AE505" i="1"/>
  <c r="AB505" i="1"/>
  <c r="AA505" i="1"/>
  <c r="Z505" i="1"/>
  <c r="Y505" i="1"/>
  <c r="V505" i="1"/>
  <c r="U505" i="1"/>
  <c r="T505" i="1"/>
  <c r="S505" i="1"/>
  <c r="P505" i="1"/>
  <c r="O505" i="1"/>
  <c r="N505" i="1"/>
  <c r="M505" i="1"/>
  <c r="AH502" i="1"/>
  <c r="AG502" i="1"/>
  <c r="AF502" i="1"/>
  <c r="AE502" i="1"/>
  <c r="AA502" i="1"/>
  <c r="Y502" i="1"/>
  <c r="U502" i="1"/>
  <c r="S502" i="1"/>
  <c r="P502" i="1"/>
  <c r="O502" i="1"/>
  <c r="N502" i="1"/>
  <c r="M502" i="1"/>
  <c r="AH494" i="1"/>
  <c r="AG494" i="1"/>
  <c r="AF494" i="1"/>
  <c r="AE494" i="1"/>
  <c r="AB494" i="1"/>
  <c r="AA494" i="1"/>
  <c r="Z494" i="1"/>
  <c r="Y494" i="1"/>
  <c r="V494" i="1"/>
  <c r="U494" i="1"/>
  <c r="T494" i="1"/>
  <c r="S494" i="1"/>
  <c r="P494" i="1"/>
  <c r="O494" i="1"/>
  <c r="N494" i="1"/>
  <c r="M494" i="1"/>
  <c r="AH432" i="1"/>
  <c r="AG432" i="1"/>
  <c r="AF432" i="1"/>
  <c r="AE432" i="1"/>
  <c r="AB432" i="1"/>
  <c r="AA432" i="1"/>
  <c r="Z432" i="1"/>
  <c r="Y432" i="1"/>
  <c r="V432" i="1"/>
  <c r="U432" i="1"/>
  <c r="T432" i="1"/>
  <c r="S432" i="1"/>
  <c r="P432" i="1"/>
  <c r="O432" i="1"/>
  <c r="N432" i="1"/>
  <c r="M432" i="1"/>
  <c r="AH417" i="1"/>
  <c r="AG417" i="1"/>
  <c r="AF417" i="1"/>
  <c r="AE417" i="1"/>
  <c r="AB417" i="1"/>
  <c r="AA417" i="1"/>
  <c r="Z417" i="1"/>
  <c r="Y417" i="1"/>
  <c r="V417" i="1"/>
  <c r="U417" i="1"/>
  <c r="T417" i="1"/>
  <c r="S417" i="1"/>
  <c r="P417" i="1"/>
  <c r="O417" i="1"/>
  <c r="N417" i="1"/>
  <c r="M417" i="1"/>
  <c r="AH407" i="1"/>
  <c r="AG407" i="1"/>
  <c r="AF407" i="1"/>
  <c r="AE407" i="1"/>
  <c r="AB407" i="1"/>
  <c r="AA407" i="1"/>
  <c r="Z407" i="1"/>
  <c r="Y407" i="1"/>
  <c r="V407" i="1"/>
  <c r="U407" i="1"/>
  <c r="T407" i="1"/>
  <c r="S407" i="1"/>
  <c r="P407" i="1"/>
  <c r="O407" i="1"/>
  <c r="N407" i="1"/>
  <c r="M407" i="1"/>
  <c r="AH402" i="1"/>
  <c r="AG402" i="1"/>
  <c r="AF402" i="1"/>
  <c r="AE402" i="1"/>
  <c r="AB402" i="1"/>
  <c r="AA402" i="1"/>
  <c r="Z402" i="1"/>
  <c r="Y402" i="1"/>
  <c r="V402" i="1"/>
  <c r="U402" i="1"/>
  <c r="T402" i="1"/>
  <c r="S402" i="1"/>
  <c r="P402" i="1"/>
  <c r="O402" i="1"/>
  <c r="N402" i="1"/>
  <c r="M402" i="1"/>
  <c r="AH388" i="1"/>
  <c r="AG388" i="1"/>
  <c r="AF388" i="1"/>
  <c r="AE388" i="1"/>
  <c r="AA388" i="1"/>
  <c r="Y388" i="1"/>
  <c r="V388" i="1"/>
  <c r="U388" i="1"/>
  <c r="T388" i="1"/>
  <c r="S388" i="1"/>
  <c r="P388" i="1"/>
  <c r="O388" i="1"/>
  <c r="N388" i="1"/>
  <c r="M388" i="1"/>
  <c r="AH380" i="1"/>
  <c r="AG380" i="1"/>
  <c r="AF380" i="1"/>
  <c r="AE380" i="1"/>
  <c r="AA380" i="1"/>
  <c r="Y380" i="1"/>
  <c r="V380" i="1"/>
  <c r="U380" i="1"/>
  <c r="T380" i="1"/>
  <c r="S380" i="1"/>
  <c r="P380" i="1"/>
  <c r="O380" i="1"/>
  <c r="N380" i="1"/>
  <c r="M380" i="1"/>
  <c r="AH378" i="1"/>
  <c r="AG378" i="1"/>
  <c r="AF378" i="1"/>
  <c r="AE378" i="1"/>
  <c r="AB378" i="1"/>
  <c r="AA378" i="1"/>
  <c r="Z378" i="1"/>
  <c r="Y378" i="1"/>
  <c r="V378" i="1"/>
  <c r="U378" i="1"/>
  <c r="T378" i="1"/>
  <c r="S378" i="1"/>
  <c r="P378" i="1"/>
  <c r="O378" i="1"/>
  <c r="N378" i="1"/>
  <c r="M378" i="1"/>
  <c r="AH362" i="1"/>
  <c r="AG362" i="1"/>
  <c r="AF362" i="1"/>
  <c r="AE362" i="1"/>
  <c r="AB362" i="1"/>
  <c r="AA362" i="1"/>
  <c r="Z362" i="1"/>
  <c r="Y362" i="1"/>
  <c r="V362" i="1"/>
  <c r="U362" i="1"/>
  <c r="T362" i="1"/>
  <c r="S362" i="1"/>
  <c r="P362" i="1"/>
  <c r="O362" i="1"/>
  <c r="N362" i="1"/>
  <c r="M362" i="1"/>
  <c r="AH359" i="1"/>
  <c r="AG359" i="1"/>
  <c r="AF359" i="1"/>
  <c r="AE359" i="1"/>
  <c r="AB359" i="1"/>
  <c r="AA359" i="1"/>
  <c r="Z359" i="1"/>
  <c r="Y359" i="1"/>
  <c r="V359" i="1"/>
  <c r="U359" i="1"/>
  <c r="T359" i="1"/>
  <c r="S359" i="1"/>
  <c r="P359" i="1"/>
  <c r="O359" i="1"/>
  <c r="N359" i="1"/>
  <c r="M359" i="1"/>
  <c r="AH345" i="1"/>
  <c r="AG345" i="1"/>
  <c r="AF345" i="1"/>
  <c r="AE345" i="1"/>
  <c r="AB345" i="1"/>
  <c r="AA345" i="1"/>
  <c r="Z345" i="1"/>
  <c r="Y345" i="1"/>
  <c r="V345" i="1"/>
  <c r="U345" i="1"/>
  <c r="T345" i="1"/>
  <c r="S345" i="1"/>
  <c r="P345" i="1"/>
  <c r="O345" i="1"/>
  <c r="N345" i="1"/>
  <c r="M345" i="1"/>
  <c r="AH342" i="1"/>
  <c r="AG342" i="1"/>
  <c r="AF342" i="1"/>
  <c r="AE342" i="1"/>
  <c r="AB342" i="1"/>
  <c r="AA342" i="1"/>
  <c r="Z342" i="1"/>
  <c r="Y342" i="1"/>
  <c r="V342" i="1"/>
  <c r="U342" i="1"/>
  <c r="T342" i="1"/>
  <c r="S342" i="1"/>
  <c r="P342" i="1"/>
  <c r="O342" i="1"/>
  <c r="N342" i="1"/>
  <c r="M342" i="1"/>
  <c r="AH341" i="1"/>
  <c r="AG341" i="1"/>
  <c r="AF341" i="1"/>
  <c r="AE341" i="1"/>
  <c r="AB341" i="1"/>
  <c r="AA341" i="1"/>
  <c r="Z341" i="1"/>
  <c r="Y341" i="1"/>
  <c r="V341" i="1"/>
  <c r="U341" i="1"/>
  <c r="T341" i="1"/>
  <c r="S341" i="1"/>
  <c r="P341" i="1"/>
  <c r="O341" i="1"/>
  <c r="N341" i="1"/>
  <c r="M341" i="1"/>
  <c r="AH339" i="1"/>
  <c r="AG339" i="1"/>
  <c r="AF339" i="1"/>
  <c r="AE339" i="1"/>
  <c r="AB339" i="1"/>
  <c r="AA339" i="1"/>
  <c r="Z339" i="1"/>
  <c r="Y339" i="1"/>
  <c r="V339" i="1"/>
  <c r="U339" i="1"/>
  <c r="T339" i="1"/>
  <c r="S339" i="1"/>
  <c r="P339" i="1"/>
  <c r="O339" i="1"/>
  <c r="N339" i="1"/>
  <c r="M339" i="1"/>
  <c r="AH338" i="1"/>
  <c r="AG338" i="1"/>
  <c r="AF338" i="1"/>
  <c r="AE338" i="1"/>
  <c r="AB338" i="1"/>
  <c r="AA338" i="1"/>
  <c r="Z338" i="1"/>
  <c r="Y338" i="1"/>
  <c r="V338" i="1"/>
  <c r="U338" i="1"/>
  <c r="T338" i="1"/>
  <c r="S338" i="1"/>
  <c r="P338" i="1"/>
  <c r="O338" i="1"/>
  <c r="N338" i="1"/>
  <c r="M338" i="1"/>
  <c r="AH337" i="1"/>
  <c r="AG337" i="1"/>
  <c r="AF337" i="1"/>
  <c r="AE337" i="1"/>
  <c r="AB337" i="1"/>
  <c r="AA337" i="1"/>
  <c r="Z337" i="1"/>
  <c r="Y337" i="1"/>
  <c r="V337" i="1"/>
  <c r="U337" i="1"/>
  <c r="T337" i="1"/>
  <c r="S337" i="1"/>
  <c r="P337" i="1"/>
  <c r="O337" i="1"/>
  <c r="N337" i="1"/>
  <c r="M337" i="1"/>
  <c r="AH313" i="1"/>
  <c r="AG313" i="1"/>
  <c r="AF313" i="1"/>
  <c r="AE313" i="1"/>
  <c r="AB313" i="1"/>
  <c r="AA313" i="1"/>
  <c r="Z313" i="1"/>
  <c r="Y313" i="1"/>
  <c r="V313" i="1"/>
  <c r="U313" i="1"/>
  <c r="T313" i="1"/>
  <c r="S313" i="1"/>
  <c r="P313" i="1"/>
  <c r="O313" i="1"/>
  <c r="N313" i="1"/>
  <c r="M313" i="1"/>
  <c r="AH312" i="1"/>
  <c r="AG312" i="1"/>
  <c r="AF312" i="1"/>
  <c r="AE312" i="1"/>
  <c r="AB312" i="1"/>
  <c r="AA312" i="1"/>
  <c r="Z312" i="1"/>
  <c r="Y312" i="1"/>
  <c r="V312" i="1"/>
  <c r="U312" i="1"/>
  <c r="T312" i="1"/>
  <c r="S312" i="1"/>
  <c r="P312" i="1"/>
  <c r="O312" i="1"/>
  <c r="N312" i="1"/>
  <c r="M312" i="1"/>
  <c r="AG311" i="1"/>
  <c r="AE311" i="1"/>
  <c r="AB311" i="1"/>
  <c r="AA311" i="1"/>
  <c r="Z311" i="1"/>
  <c r="Y311" i="1"/>
  <c r="V311" i="1"/>
  <c r="U311" i="1"/>
  <c r="T311" i="1"/>
  <c r="S311" i="1"/>
  <c r="P311" i="1"/>
  <c r="O311" i="1"/>
  <c r="N311" i="1"/>
  <c r="M311" i="1"/>
  <c r="AH309" i="1"/>
  <c r="AG309" i="1"/>
  <c r="AF309" i="1"/>
  <c r="AE309" i="1"/>
  <c r="AB309" i="1"/>
  <c r="AA309" i="1"/>
  <c r="Z309" i="1"/>
  <c r="Y309" i="1"/>
  <c r="V309" i="1"/>
  <c r="U309" i="1"/>
  <c r="T309" i="1"/>
  <c r="S309" i="1"/>
  <c r="P309" i="1"/>
  <c r="O309" i="1"/>
  <c r="N309" i="1"/>
  <c r="M309" i="1"/>
  <c r="AH301" i="1"/>
  <c r="AG301" i="1"/>
  <c r="AF301" i="1"/>
  <c r="AE301" i="1"/>
  <c r="AB301" i="1"/>
  <c r="AA301" i="1"/>
  <c r="Z301" i="1"/>
  <c r="Y301" i="1"/>
  <c r="V301" i="1"/>
  <c r="U301" i="1"/>
  <c r="T301" i="1"/>
  <c r="S301" i="1"/>
  <c r="P301" i="1"/>
  <c r="O301" i="1"/>
  <c r="N301" i="1"/>
  <c r="M301" i="1"/>
  <c r="AG292" i="1"/>
  <c r="AE292" i="1"/>
  <c r="AA292" i="1"/>
  <c r="Y292" i="1"/>
  <c r="V292" i="1"/>
  <c r="U292" i="1"/>
  <c r="T292" i="1"/>
  <c r="S292" i="1"/>
  <c r="P292" i="1"/>
  <c r="O292" i="1"/>
  <c r="N292" i="1"/>
  <c r="M292" i="1"/>
  <c r="AH291" i="1"/>
  <c r="AG291" i="1"/>
  <c r="AF291" i="1"/>
  <c r="AE291" i="1"/>
  <c r="AB291" i="1"/>
  <c r="AA291" i="1"/>
  <c r="Z291" i="1"/>
  <c r="Y291" i="1"/>
  <c r="V291" i="1"/>
  <c r="U291" i="1"/>
  <c r="T291" i="1"/>
  <c r="S291" i="1"/>
  <c r="P291" i="1"/>
  <c r="O291" i="1"/>
  <c r="N291" i="1"/>
  <c r="M291" i="1"/>
  <c r="AG290" i="1"/>
  <c r="AE290" i="1"/>
  <c r="AA290" i="1"/>
  <c r="Y290" i="1"/>
  <c r="V290" i="1"/>
  <c r="U290" i="1"/>
  <c r="T290" i="1"/>
  <c r="S290" i="1"/>
  <c r="P290" i="1"/>
  <c r="O290" i="1"/>
  <c r="N290" i="1"/>
  <c r="M290" i="1"/>
  <c r="AG287" i="1"/>
  <c r="AE287" i="1"/>
  <c r="AA287" i="1"/>
  <c r="Y287" i="1"/>
  <c r="V287" i="1"/>
  <c r="U287" i="1"/>
  <c r="T287" i="1"/>
  <c r="S287" i="1"/>
  <c r="P287" i="1"/>
  <c r="O287" i="1"/>
  <c r="N287" i="1"/>
  <c r="M287" i="1"/>
  <c r="AH286" i="1"/>
  <c r="AG286" i="1"/>
  <c r="AF286" i="1"/>
  <c r="AE286" i="1"/>
  <c r="AB286" i="1"/>
  <c r="AA286" i="1"/>
  <c r="Z286" i="1"/>
  <c r="Y286" i="1"/>
  <c r="V286" i="1"/>
  <c r="U286" i="1"/>
  <c r="T286" i="1"/>
  <c r="S286" i="1"/>
  <c r="P286" i="1"/>
  <c r="O286" i="1"/>
  <c r="N286" i="1"/>
  <c r="M286" i="1"/>
  <c r="AH285" i="1"/>
  <c r="AG285" i="1"/>
  <c r="AF285" i="1"/>
  <c r="AE285" i="1"/>
  <c r="AB285" i="1"/>
  <c r="AA285" i="1"/>
  <c r="Z285" i="1"/>
  <c r="Y285" i="1"/>
  <c r="V285" i="1"/>
  <c r="U285" i="1"/>
  <c r="T285" i="1"/>
  <c r="S285" i="1"/>
  <c r="P285" i="1"/>
  <c r="O285" i="1"/>
  <c r="N285" i="1"/>
  <c r="M285" i="1"/>
  <c r="AH284" i="1"/>
  <c r="AG284" i="1"/>
  <c r="AF284" i="1"/>
  <c r="AE284" i="1"/>
  <c r="AB284" i="1"/>
  <c r="AA284" i="1"/>
  <c r="Z284" i="1"/>
  <c r="Y284" i="1"/>
  <c r="V284" i="1"/>
  <c r="U284" i="1"/>
  <c r="T284" i="1"/>
  <c r="S284" i="1"/>
  <c r="P284" i="1"/>
  <c r="O284" i="1"/>
  <c r="N284" i="1"/>
  <c r="M284" i="1"/>
  <c r="AH283" i="1"/>
  <c r="AG283" i="1"/>
  <c r="AF283" i="1"/>
  <c r="AE283" i="1"/>
  <c r="AB283" i="1"/>
  <c r="AA283" i="1"/>
  <c r="Z283" i="1"/>
  <c r="Y283" i="1"/>
  <c r="V283" i="1"/>
  <c r="U283" i="1"/>
  <c r="T283" i="1"/>
  <c r="S283" i="1"/>
  <c r="P283" i="1"/>
  <c r="O283" i="1"/>
  <c r="N283" i="1"/>
  <c r="M283" i="1"/>
  <c r="AH273" i="1"/>
  <c r="AG273" i="1"/>
  <c r="AF273" i="1"/>
  <c r="AE273" i="1"/>
  <c r="AB273" i="1"/>
  <c r="AA273" i="1"/>
  <c r="Z273" i="1"/>
  <c r="Y273" i="1"/>
  <c r="V273" i="1"/>
  <c r="U273" i="1"/>
  <c r="T273" i="1"/>
  <c r="S273" i="1"/>
  <c r="P273" i="1"/>
  <c r="O273" i="1"/>
  <c r="N273" i="1"/>
  <c r="M273" i="1"/>
  <c r="AH272" i="1"/>
  <c r="AG272" i="1"/>
  <c r="AF272" i="1"/>
  <c r="AE272" i="1"/>
  <c r="AB272" i="1"/>
  <c r="AA272" i="1"/>
  <c r="Z272" i="1"/>
  <c r="Y272" i="1"/>
  <c r="V272" i="1"/>
  <c r="U272" i="1"/>
  <c r="T272" i="1"/>
  <c r="S272" i="1"/>
  <c r="P272" i="1"/>
  <c r="O272" i="1"/>
  <c r="N272" i="1"/>
  <c r="M272" i="1"/>
  <c r="AH271" i="1"/>
  <c r="AG271" i="1"/>
  <c r="AF271" i="1"/>
  <c r="AE271" i="1"/>
  <c r="AB271" i="1"/>
  <c r="AA271" i="1"/>
  <c r="Z271" i="1"/>
  <c r="Y271" i="1"/>
  <c r="V271" i="1"/>
  <c r="U271" i="1"/>
  <c r="T271" i="1"/>
  <c r="S271" i="1"/>
  <c r="P271" i="1"/>
  <c r="O271" i="1"/>
  <c r="N271" i="1"/>
  <c r="M271" i="1"/>
  <c r="AH258" i="1"/>
  <c r="AG258" i="1"/>
  <c r="AF258" i="1"/>
  <c r="AE258" i="1"/>
  <c r="AB258" i="1"/>
  <c r="AA258" i="1"/>
  <c r="Z258" i="1"/>
  <c r="Y258" i="1"/>
  <c r="V258" i="1"/>
  <c r="U258" i="1"/>
  <c r="T258" i="1"/>
  <c r="S258" i="1"/>
  <c r="P258" i="1"/>
  <c r="O258" i="1"/>
  <c r="N258" i="1"/>
  <c r="M258" i="1"/>
  <c r="AH257" i="1"/>
  <c r="AG257" i="1"/>
  <c r="AF257" i="1"/>
  <c r="AE257" i="1"/>
  <c r="AB257" i="1"/>
  <c r="AA257" i="1"/>
  <c r="Z257" i="1"/>
  <c r="Y257" i="1"/>
  <c r="V257" i="1"/>
  <c r="U257" i="1"/>
  <c r="T257" i="1"/>
  <c r="S257" i="1"/>
  <c r="P257" i="1"/>
  <c r="O257" i="1"/>
  <c r="N257" i="1"/>
  <c r="M257" i="1"/>
  <c r="AH256" i="1"/>
  <c r="AG256" i="1"/>
  <c r="AF256" i="1"/>
  <c r="AE256" i="1"/>
  <c r="AB256" i="1"/>
  <c r="AA256" i="1"/>
  <c r="Z256" i="1"/>
  <c r="Y256" i="1"/>
  <c r="V256" i="1"/>
  <c r="U256" i="1"/>
  <c r="T256" i="1"/>
  <c r="S256" i="1"/>
  <c r="P256" i="1"/>
  <c r="O256" i="1"/>
  <c r="N256" i="1"/>
  <c r="M256" i="1"/>
  <c r="AH232" i="1"/>
  <c r="AG232" i="1"/>
  <c r="AF232" i="1"/>
  <c r="AE232" i="1"/>
  <c r="AB232" i="1"/>
  <c r="AA232" i="1"/>
  <c r="Z232" i="1"/>
  <c r="Y232" i="1"/>
  <c r="V232" i="1"/>
  <c r="U232" i="1"/>
  <c r="T232" i="1"/>
  <c r="S232" i="1"/>
  <c r="P232" i="1"/>
  <c r="O232" i="1"/>
  <c r="N232" i="1"/>
  <c r="M232" i="1"/>
  <c r="AH231" i="1"/>
  <c r="AG231" i="1"/>
  <c r="AF231" i="1"/>
  <c r="AE231" i="1"/>
  <c r="AB231" i="1"/>
  <c r="AA231" i="1"/>
  <c r="Z231" i="1"/>
  <c r="Y231" i="1"/>
  <c r="V231" i="1"/>
  <c r="U231" i="1"/>
  <c r="T231" i="1"/>
  <c r="S231" i="1"/>
  <c r="P231" i="1"/>
  <c r="O231" i="1"/>
  <c r="N231" i="1"/>
  <c r="M231" i="1"/>
  <c r="AG230" i="1"/>
  <c r="AE230" i="1"/>
  <c r="AB230" i="1"/>
  <c r="AA230" i="1"/>
  <c r="Z230" i="1"/>
  <c r="Y230" i="1"/>
  <c r="V230" i="1"/>
  <c r="U230" i="1"/>
  <c r="T230" i="1"/>
  <c r="S230" i="1"/>
  <c r="P230" i="1"/>
  <c r="O230" i="1"/>
  <c r="N230" i="1"/>
  <c r="M230" i="1"/>
  <c r="AH219" i="1"/>
  <c r="AG219" i="1"/>
  <c r="AF219" i="1"/>
  <c r="AE219" i="1"/>
  <c r="AA219" i="1"/>
  <c r="Y219" i="1"/>
  <c r="V219" i="1"/>
  <c r="U219" i="1"/>
  <c r="T219" i="1"/>
  <c r="S219" i="1"/>
  <c r="P219" i="1"/>
  <c r="O219" i="1"/>
  <c r="N219" i="1"/>
  <c r="M219" i="1"/>
  <c r="AH216" i="1"/>
  <c r="AG216" i="1"/>
  <c r="AF216" i="1"/>
  <c r="AE216" i="1"/>
  <c r="AB216" i="1"/>
  <c r="AA216" i="1"/>
  <c r="Z216" i="1"/>
  <c r="Y216" i="1"/>
  <c r="V216" i="1"/>
  <c r="U216" i="1"/>
  <c r="T216" i="1"/>
  <c r="S216" i="1"/>
  <c r="P216" i="1"/>
  <c r="O216" i="1"/>
  <c r="N216" i="1"/>
  <c r="M216" i="1"/>
  <c r="AH215" i="1"/>
  <c r="AG215" i="1"/>
  <c r="AF215" i="1"/>
  <c r="AE215" i="1"/>
  <c r="AB215" i="1"/>
  <c r="AA215" i="1"/>
  <c r="Z215" i="1"/>
  <c r="Y215" i="1"/>
  <c r="V215" i="1"/>
  <c r="U215" i="1"/>
  <c r="T215" i="1"/>
  <c r="S215" i="1"/>
  <c r="P215" i="1"/>
  <c r="O215" i="1"/>
  <c r="N215" i="1"/>
  <c r="M215" i="1"/>
  <c r="AH214" i="1"/>
  <c r="AG214" i="1"/>
  <c r="AF214" i="1"/>
  <c r="AE214" i="1"/>
  <c r="AB214" i="1"/>
  <c r="AA214" i="1"/>
  <c r="Z214" i="1"/>
  <c r="Y214" i="1"/>
  <c r="V214" i="1"/>
  <c r="U214" i="1"/>
  <c r="T214" i="1"/>
  <c r="S214" i="1"/>
  <c r="P214" i="1"/>
  <c r="O214" i="1"/>
  <c r="N214" i="1"/>
  <c r="M214" i="1"/>
  <c r="AH205" i="1"/>
  <c r="AG205" i="1"/>
  <c r="AF205" i="1"/>
  <c r="AE205" i="1"/>
  <c r="AB205" i="1"/>
  <c r="AA205" i="1"/>
  <c r="Z205" i="1"/>
  <c r="Y205" i="1"/>
  <c r="V205" i="1"/>
  <c r="U205" i="1"/>
  <c r="T205" i="1"/>
  <c r="S205" i="1"/>
  <c r="P205" i="1"/>
  <c r="O205" i="1"/>
  <c r="N205" i="1"/>
  <c r="M205" i="1"/>
  <c r="AH204" i="1"/>
  <c r="AG204" i="1"/>
  <c r="AF204" i="1"/>
  <c r="AE204" i="1"/>
  <c r="AB204" i="1"/>
  <c r="AA204" i="1"/>
  <c r="Z204" i="1"/>
  <c r="Y204" i="1"/>
  <c r="V204" i="1"/>
  <c r="U204" i="1"/>
  <c r="T204" i="1"/>
  <c r="S204" i="1"/>
  <c r="P204" i="1"/>
  <c r="O204" i="1"/>
  <c r="N204" i="1"/>
  <c r="M204" i="1"/>
  <c r="AH203" i="1"/>
  <c r="AG203" i="1"/>
  <c r="AF203" i="1"/>
  <c r="AE203" i="1"/>
  <c r="AB203" i="1"/>
  <c r="AA203" i="1"/>
  <c r="Z203" i="1"/>
  <c r="Y203" i="1"/>
  <c r="V203" i="1"/>
  <c r="U203" i="1"/>
  <c r="T203" i="1"/>
  <c r="S203" i="1"/>
  <c r="P203" i="1"/>
  <c r="O203" i="1"/>
  <c r="N203" i="1"/>
  <c r="M203" i="1"/>
  <c r="AH178" i="1"/>
  <c r="AG178" i="1"/>
  <c r="AF178" i="1"/>
  <c r="AE178" i="1"/>
  <c r="AB178" i="1"/>
  <c r="AA178" i="1"/>
  <c r="Z178" i="1"/>
  <c r="Y178" i="1"/>
  <c r="V178" i="1"/>
  <c r="U178" i="1"/>
  <c r="T178" i="1"/>
  <c r="S178" i="1"/>
  <c r="P178" i="1"/>
  <c r="O178" i="1"/>
  <c r="N178" i="1"/>
  <c r="M178" i="1"/>
  <c r="AH177" i="1"/>
  <c r="AG177" i="1"/>
  <c r="AF177" i="1"/>
  <c r="AE177" i="1"/>
  <c r="AB177" i="1"/>
  <c r="AA177" i="1"/>
  <c r="Z177" i="1"/>
  <c r="Y177" i="1"/>
  <c r="V177" i="1"/>
  <c r="U177" i="1"/>
  <c r="T177" i="1"/>
  <c r="S177" i="1"/>
  <c r="P177" i="1"/>
  <c r="O177" i="1"/>
  <c r="N177" i="1"/>
  <c r="M177" i="1"/>
  <c r="AG176" i="1"/>
  <c r="AE176" i="1"/>
  <c r="AA176" i="1"/>
  <c r="Y176" i="1"/>
  <c r="V176" i="1"/>
  <c r="U176" i="1"/>
  <c r="T176" i="1"/>
  <c r="S176" i="1"/>
  <c r="P176" i="1"/>
  <c r="O176" i="1"/>
  <c r="N176" i="1"/>
  <c r="M176" i="1"/>
  <c r="AH159" i="1"/>
  <c r="AG159" i="1"/>
  <c r="AF159" i="1"/>
  <c r="AE159" i="1"/>
  <c r="AB159" i="1"/>
  <c r="AA159" i="1"/>
  <c r="Z159" i="1"/>
  <c r="Y159" i="1"/>
  <c r="V159" i="1"/>
  <c r="U159" i="1"/>
  <c r="T159" i="1"/>
  <c r="S159" i="1"/>
  <c r="P159" i="1"/>
  <c r="O159" i="1"/>
  <c r="N159" i="1"/>
  <c r="M159" i="1"/>
  <c r="AH158" i="1"/>
  <c r="AG158" i="1"/>
  <c r="AF158" i="1"/>
  <c r="AE158" i="1"/>
  <c r="AB158" i="1"/>
  <c r="AA158" i="1"/>
  <c r="Z158" i="1"/>
  <c r="Y158" i="1"/>
  <c r="V158" i="1"/>
  <c r="U158" i="1"/>
  <c r="T158" i="1"/>
  <c r="S158" i="1"/>
  <c r="P158" i="1"/>
  <c r="O158" i="1"/>
  <c r="N158" i="1"/>
  <c r="M158" i="1"/>
  <c r="AG157" i="1"/>
  <c r="AE157" i="1"/>
  <c r="AB157" i="1"/>
  <c r="AA157" i="1"/>
  <c r="Z157" i="1"/>
  <c r="Y157" i="1"/>
  <c r="V157" i="1"/>
  <c r="U157" i="1"/>
  <c r="T157" i="1"/>
  <c r="S157" i="1"/>
  <c r="P157" i="1"/>
  <c r="O157" i="1"/>
  <c r="N157" i="1"/>
  <c r="M157" i="1"/>
  <c r="AH154" i="1"/>
  <c r="AG154" i="1"/>
  <c r="AF154" i="1"/>
  <c r="AE154" i="1"/>
  <c r="AB154" i="1"/>
  <c r="AA154" i="1"/>
  <c r="Z154" i="1"/>
  <c r="Y154" i="1"/>
  <c r="V154" i="1"/>
  <c r="U154" i="1"/>
  <c r="T154" i="1"/>
  <c r="S154" i="1"/>
  <c r="P154" i="1"/>
  <c r="O154" i="1"/>
  <c r="N154" i="1"/>
  <c r="M154" i="1"/>
  <c r="AH153" i="1"/>
  <c r="AG153" i="1"/>
  <c r="AF153" i="1"/>
  <c r="AE153" i="1"/>
  <c r="AB153" i="1"/>
  <c r="AA153" i="1"/>
  <c r="Z153" i="1"/>
  <c r="Y153" i="1"/>
  <c r="V153" i="1"/>
  <c r="U153" i="1"/>
  <c r="T153" i="1"/>
  <c r="S153" i="1"/>
  <c r="P153" i="1"/>
  <c r="O153" i="1"/>
  <c r="N153" i="1"/>
  <c r="M153" i="1"/>
  <c r="AH152" i="1"/>
  <c r="AG152" i="1"/>
  <c r="AF152" i="1"/>
  <c r="AE152" i="1"/>
  <c r="AA152" i="1"/>
  <c r="Y152" i="1"/>
  <c r="V152" i="1"/>
  <c r="U152" i="1"/>
  <c r="T152" i="1"/>
  <c r="S152" i="1"/>
  <c r="P152" i="1"/>
  <c r="O152" i="1"/>
  <c r="N152" i="1"/>
  <c r="M152" i="1"/>
  <c r="AH144" i="1"/>
  <c r="AG144" i="1"/>
  <c r="AF144" i="1"/>
  <c r="AE144" i="1"/>
  <c r="AB144" i="1"/>
  <c r="AA144" i="1"/>
  <c r="Z144" i="1"/>
  <c r="Y144" i="1"/>
  <c r="V144" i="1"/>
  <c r="U144" i="1"/>
  <c r="T144" i="1"/>
  <c r="S144" i="1"/>
  <c r="P144" i="1"/>
  <c r="O144" i="1"/>
  <c r="N144" i="1"/>
  <c r="M144" i="1"/>
  <c r="AH143" i="1"/>
  <c r="AG143" i="1"/>
  <c r="AF143" i="1"/>
  <c r="AE143" i="1"/>
  <c r="AB143" i="1"/>
  <c r="AA143" i="1"/>
  <c r="Z143" i="1"/>
  <c r="Y143" i="1"/>
  <c r="V143" i="1"/>
  <c r="U143" i="1"/>
  <c r="T143" i="1"/>
  <c r="S143" i="1"/>
  <c r="P143" i="1"/>
  <c r="O143" i="1"/>
  <c r="N143" i="1"/>
  <c r="M143" i="1"/>
  <c r="AH142" i="1"/>
  <c r="AG142" i="1"/>
  <c r="AF142" i="1"/>
  <c r="AE142" i="1"/>
  <c r="AB142" i="1"/>
  <c r="AA142" i="1"/>
  <c r="Z142" i="1"/>
  <c r="Y142" i="1"/>
  <c r="V142" i="1"/>
  <c r="U142" i="1"/>
  <c r="T142" i="1"/>
  <c r="S142" i="1"/>
  <c r="P142" i="1"/>
  <c r="O142" i="1"/>
  <c r="N142" i="1"/>
  <c r="M142" i="1"/>
  <c r="AH133" i="1"/>
  <c r="AG133" i="1"/>
  <c r="AF133" i="1"/>
  <c r="AE133" i="1"/>
  <c r="AB133" i="1"/>
  <c r="AA133" i="1"/>
  <c r="Z133" i="1"/>
  <c r="Y133" i="1"/>
  <c r="V133" i="1"/>
  <c r="U133" i="1"/>
  <c r="T133" i="1"/>
  <c r="S133" i="1"/>
  <c r="P133" i="1"/>
  <c r="O133" i="1"/>
  <c r="N133" i="1"/>
  <c r="M133" i="1"/>
  <c r="AH132" i="1"/>
  <c r="AG132" i="1"/>
  <c r="AF132" i="1"/>
  <c r="AE132" i="1"/>
  <c r="AB132" i="1"/>
  <c r="AA132" i="1"/>
  <c r="Z132" i="1"/>
  <c r="Y132" i="1"/>
  <c r="V132" i="1"/>
  <c r="U132" i="1"/>
  <c r="T132" i="1"/>
  <c r="S132" i="1"/>
  <c r="P132" i="1"/>
  <c r="O132" i="1"/>
  <c r="N132" i="1"/>
  <c r="M132" i="1"/>
  <c r="AH131" i="1"/>
  <c r="AG131" i="1"/>
  <c r="AF131" i="1"/>
  <c r="AE131" i="1"/>
  <c r="AB131" i="1"/>
  <c r="AA131" i="1"/>
  <c r="Z131" i="1"/>
  <c r="Y131" i="1"/>
  <c r="V131" i="1"/>
  <c r="U131" i="1"/>
  <c r="T131" i="1"/>
  <c r="S131" i="1"/>
  <c r="P131" i="1"/>
  <c r="O131" i="1"/>
  <c r="N131" i="1"/>
  <c r="M131" i="1"/>
  <c r="AG123" i="1"/>
  <c r="AF123" i="1"/>
  <c r="AA123" i="1"/>
  <c r="Z123" i="1"/>
  <c r="U123" i="1"/>
  <c r="T123" i="1"/>
  <c r="O123" i="1"/>
  <c r="N123" i="1"/>
  <c r="AG122" i="1"/>
  <c r="AF122" i="1"/>
  <c r="AA122" i="1"/>
  <c r="Z122" i="1"/>
  <c r="U122" i="1"/>
  <c r="T122" i="1"/>
  <c r="O122" i="1"/>
  <c r="N122" i="1"/>
  <c r="AG121" i="1"/>
  <c r="AF121" i="1"/>
  <c r="AA121" i="1"/>
  <c r="Z121" i="1"/>
  <c r="U121" i="1"/>
  <c r="T121" i="1"/>
  <c r="O121" i="1"/>
  <c r="N121" i="1"/>
  <c r="AG110" i="1"/>
  <c r="AE110" i="1"/>
  <c r="AB110" i="1"/>
  <c r="AA110" i="1"/>
  <c r="Z110" i="1"/>
  <c r="Y110" i="1"/>
  <c r="V110" i="1"/>
  <c r="U110" i="1"/>
  <c r="T110" i="1"/>
  <c r="S110" i="1"/>
  <c r="P110" i="1"/>
  <c r="O110" i="1"/>
  <c r="N110" i="1"/>
  <c r="M110" i="1"/>
  <c r="AG105" i="1"/>
  <c r="AE105" i="1"/>
  <c r="AA105" i="1"/>
  <c r="Y105" i="1"/>
  <c r="V105" i="1"/>
  <c r="U105" i="1"/>
  <c r="T105" i="1"/>
  <c r="S105" i="1"/>
  <c r="P105" i="1"/>
  <c r="O105" i="1"/>
  <c r="N105" i="1"/>
  <c r="M105" i="1"/>
  <c r="AH104" i="1"/>
  <c r="AG104" i="1"/>
  <c r="AF104" i="1"/>
  <c r="AE104" i="1"/>
  <c r="AB104" i="1"/>
  <c r="AA104" i="1"/>
  <c r="Z104" i="1"/>
  <c r="Y104" i="1"/>
  <c r="V104" i="1"/>
  <c r="U104" i="1"/>
  <c r="T104" i="1"/>
  <c r="S104" i="1"/>
  <c r="P104" i="1"/>
  <c r="O104" i="1"/>
  <c r="N104" i="1"/>
  <c r="M104" i="1"/>
  <c r="AH103" i="1"/>
  <c r="AG103" i="1"/>
  <c r="AF103" i="1"/>
  <c r="AE103" i="1"/>
  <c r="AB103" i="1"/>
  <c r="AA103" i="1"/>
  <c r="Z103" i="1"/>
  <c r="Y103" i="1"/>
  <c r="V103" i="1"/>
  <c r="U103" i="1"/>
  <c r="T103" i="1"/>
  <c r="S103" i="1"/>
  <c r="P103" i="1"/>
  <c r="O103" i="1"/>
  <c r="N103" i="1"/>
  <c r="M103" i="1"/>
  <c r="AG102" i="1"/>
  <c r="AE102" i="1"/>
  <c r="AB102" i="1"/>
  <c r="AA102" i="1"/>
  <c r="Z102" i="1"/>
  <c r="Y102" i="1"/>
  <c r="U102" i="1"/>
  <c r="S102" i="1"/>
  <c r="P102" i="1"/>
  <c r="O102" i="1"/>
  <c r="N102" i="1"/>
  <c r="M102" i="1"/>
  <c r="AG101" i="1"/>
  <c r="AE101" i="1"/>
  <c r="AA101" i="1"/>
  <c r="Y101" i="1"/>
  <c r="V101" i="1"/>
  <c r="U101" i="1"/>
  <c r="T101" i="1"/>
  <c r="S101" i="1"/>
  <c r="P101" i="1"/>
  <c r="O101" i="1"/>
  <c r="N101" i="1"/>
  <c r="M101" i="1"/>
  <c r="AH93" i="1"/>
  <c r="AG93" i="1"/>
  <c r="AF93" i="1"/>
  <c r="AE93" i="1"/>
  <c r="AA93" i="1"/>
  <c r="Y93" i="1"/>
  <c r="V93" i="1"/>
  <c r="U93" i="1"/>
  <c r="T93" i="1"/>
  <c r="S93" i="1"/>
  <c r="P93" i="1"/>
  <c r="O93" i="1"/>
  <c r="N93" i="1"/>
  <c r="M93" i="1"/>
  <c r="AH92" i="1"/>
  <c r="AG92" i="1"/>
  <c r="AF92" i="1"/>
  <c r="AE92" i="1"/>
  <c r="AB92" i="1"/>
  <c r="AA92" i="1"/>
  <c r="Z92" i="1"/>
  <c r="Y92" i="1"/>
  <c r="V92" i="1"/>
  <c r="U92" i="1"/>
  <c r="T92" i="1"/>
  <c r="S92" i="1"/>
  <c r="P92" i="1"/>
  <c r="O92" i="1"/>
  <c r="N92" i="1"/>
  <c r="M92" i="1"/>
  <c r="AH91" i="1"/>
  <c r="AG91" i="1"/>
  <c r="AF91" i="1"/>
  <c r="AE91" i="1"/>
  <c r="AB91" i="1"/>
  <c r="AA91" i="1"/>
  <c r="Z91" i="1"/>
  <c r="Y91" i="1"/>
  <c r="V91" i="1"/>
  <c r="U91" i="1"/>
  <c r="T91" i="1"/>
  <c r="S91" i="1"/>
  <c r="P91" i="1"/>
  <c r="O91" i="1"/>
  <c r="N91" i="1"/>
  <c r="M91" i="1"/>
  <c r="AH90" i="1"/>
  <c r="AG90" i="1"/>
  <c r="AF90" i="1"/>
  <c r="AE90" i="1"/>
  <c r="AB90" i="1"/>
  <c r="AA90" i="1"/>
  <c r="Z90" i="1"/>
  <c r="Y90" i="1"/>
  <c r="V90" i="1"/>
  <c r="U90" i="1"/>
  <c r="T90" i="1"/>
  <c r="S90" i="1"/>
  <c r="P90" i="1"/>
  <c r="O90" i="1"/>
  <c r="N90" i="1"/>
  <c r="M90" i="1"/>
  <c r="AG59" i="1"/>
  <c r="AE59" i="1"/>
  <c r="AA59" i="1"/>
  <c r="Y59" i="1"/>
  <c r="V59" i="1"/>
  <c r="U59" i="1"/>
  <c r="T59" i="1"/>
  <c r="S59" i="1"/>
  <c r="P59" i="1"/>
  <c r="O59" i="1"/>
  <c r="N59" i="1"/>
  <c r="M59" i="1"/>
  <c r="AH55" i="1"/>
  <c r="AG55" i="1"/>
  <c r="AF55" i="1"/>
  <c r="AE55" i="1"/>
  <c r="AB55" i="1"/>
  <c r="AA55" i="1"/>
  <c r="Z55" i="1"/>
  <c r="Y55" i="1"/>
  <c r="V55" i="1"/>
  <c r="U55" i="1"/>
  <c r="T55" i="1"/>
  <c r="S55" i="1"/>
  <c r="P55" i="1"/>
  <c r="O55" i="1"/>
  <c r="N55" i="1"/>
  <c r="M55" i="1"/>
  <c r="AH54" i="1"/>
  <c r="AG54" i="1"/>
  <c r="AF54" i="1"/>
  <c r="AE54" i="1"/>
  <c r="AB54" i="1"/>
  <c r="AA54" i="1"/>
  <c r="Z54" i="1"/>
  <c r="Y54" i="1"/>
  <c r="V54" i="1"/>
  <c r="U54" i="1"/>
  <c r="T54" i="1"/>
  <c r="S54" i="1"/>
  <c r="P54" i="1"/>
  <c r="O54" i="1"/>
  <c r="N54" i="1"/>
  <c r="M54" i="1"/>
  <c r="AG53" i="1"/>
  <c r="AE53" i="1"/>
  <c r="AA53" i="1"/>
  <c r="Y53" i="1"/>
  <c r="V53" i="1"/>
  <c r="U53" i="1"/>
  <c r="T53" i="1"/>
  <c r="S53" i="1"/>
  <c r="P53" i="1"/>
  <c r="O53" i="1"/>
  <c r="N53" i="1"/>
  <c r="M53" i="1"/>
  <c r="AH52" i="1"/>
  <c r="AG52" i="1"/>
  <c r="AF52" i="1"/>
  <c r="AE52" i="1"/>
  <c r="AB52" i="1"/>
  <c r="AA52" i="1"/>
  <c r="Z52" i="1"/>
  <c r="Y52" i="1"/>
  <c r="V52" i="1"/>
  <c r="U52" i="1"/>
  <c r="T52" i="1"/>
  <c r="S52" i="1"/>
  <c r="P52" i="1"/>
  <c r="O52" i="1"/>
  <c r="N52" i="1"/>
  <c r="M52" i="1"/>
  <c r="AH51" i="1"/>
  <c r="AG51" i="1"/>
  <c r="AF51" i="1"/>
  <c r="AE51" i="1"/>
  <c r="AB51" i="1"/>
  <c r="AA51" i="1"/>
  <c r="Z51" i="1"/>
  <c r="Y51" i="1"/>
  <c r="V51" i="1"/>
  <c r="U51" i="1"/>
  <c r="T51" i="1"/>
  <c r="S51" i="1"/>
  <c r="P51" i="1"/>
  <c r="O51" i="1"/>
  <c r="N51" i="1"/>
  <c r="M51" i="1"/>
  <c r="AH50" i="1"/>
  <c r="AG50" i="1"/>
  <c r="AF50" i="1"/>
  <c r="AE50" i="1"/>
  <c r="AB50" i="1"/>
  <c r="AA50" i="1"/>
  <c r="Z50" i="1"/>
  <c r="Y50" i="1"/>
  <c r="V50" i="1"/>
  <c r="U50" i="1"/>
  <c r="T50" i="1"/>
  <c r="S50" i="1"/>
  <c r="P50" i="1"/>
  <c r="O50" i="1"/>
  <c r="N50" i="1"/>
  <c r="M50" i="1"/>
  <c r="AH40" i="1"/>
  <c r="AG40" i="1"/>
  <c r="AF40" i="1"/>
  <c r="AE40" i="1"/>
  <c r="AB40" i="1"/>
  <c r="AA40" i="1"/>
  <c r="Z40" i="1"/>
  <c r="Y40" i="1"/>
  <c r="V40" i="1"/>
  <c r="U40" i="1"/>
  <c r="T40" i="1"/>
  <c r="S40" i="1"/>
  <c r="P40" i="1"/>
  <c r="O40" i="1"/>
  <c r="N40" i="1"/>
  <c r="M40" i="1"/>
  <c r="AH39" i="1"/>
  <c r="AG39" i="1"/>
  <c r="AF39" i="1"/>
  <c r="AE39" i="1"/>
  <c r="AB39" i="1"/>
  <c r="AA39" i="1"/>
  <c r="Z39" i="1"/>
  <c r="Y39" i="1"/>
  <c r="V39" i="1"/>
  <c r="U39" i="1"/>
  <c r="T39" i="1"/>
  <c r="S39" i="1"/>
  <c r="P39" i="1"/>
  <c r="O39" i="1"/>
  <c r="N39" i="1"/>
  <c r="M39" i="1"/>
  <c r="AH38" i="1"/>
  <c r="AG38" i="1"/>
  <c r="AF38" i="1"/>
  <c r="AE38" i="1"/>
  <c r="AB38" i="1"/>
  <c r="AA38" i="1"/>
  <c r="Z38" i="1"/>
  <c r="Y38" i="1"/>
  <c r="V38" i="1"/>
  <c r="U38" i="1"/>
  <c r="T38" i="1"/>
  <c r="S38" i="1"/>
  <c r="P38" i="1"/>
  <c r="O38" i="1"/>
  <c r="N38" i="1"/>
  <c r="M38" i="1"/>
  <c r="AH30" i="1"/>
  <c r="AG30" i="1"/>
  <c r="AF30" i="1"/>
  <c r="AE30" i="1"/>
  <c r="AB30" i="1"/>
  <c r="AA30" i="1"/>
  <c r="Z30" i="1"/>
  <c r="Y30" i="1"/>
  <c r="V30" i="1"/>
  <c r="U30" i="1"/>
  <c r="T30" i="1"/>
  <c r="S30" i="1"/>
  <c r="P30" i="1"/>
  <c r="O30" i="1"/>
  <c r="N30" i="1"/>
  <c r="M30" i="1"/>
  <c r="AH29" i="1"/>
  <c r="AG29" i="1"/>
  <c r="AF29" i="1"/>
  <c r="AE29" i="1"/>
  <c r="AB29" i="1"/>
  <c r="AA29" i="1"/>
  <c r="Z29" i="1"/>
  <c r="Y29" i="1"/>
  <c r="V29" i="1"/>
  <c r="U29" i="1"/>
  <c r="T29" i="1"/>
  <c r="S29" i="1"/>
  <c r="P29" i="1"/>
  <c r="O29" i="1"/>
  <c r="N29" i="1"/>
  <c r="M29" i="1"/>
  <c r="AG28" i="1"/>
  <c r="AE28" i="1"/>
  <c r="AB28" i="1"/>
  <c r="AA28" i="1"/>
  <c r="Z28" i="1"/>
  <c r="Y28" i="1"/>
  <c r="V28" i="1"/>
  <c r="U28" i="1"/>
  <c r="T28" i="1"/>
  <c r="S28" i="1"/>
  <c r="P28" i="1"/>
  <c r="O28" i="1"/>
  <c r="N28" i="1"/>
  <c r="M28" i="1"/>
  <c r="AH22" i="1"/>
  <c r="AG22" i="1"/>
  <c r="AF22" i="1"/>
  <c r="AE22" i="1"/>
  <c r="AB22" i="1"/>
  <c r="AA22" i="1"/>
  <c r="Z22" i="1"/>
  <c r="Y22" i="1"/>
  <c r="V22" i="1"/>
  <c r="U22" i="1"/>
  <c r="T22" i="1"/>
  <c r="S22" i="1"/>
  <c r="P22" i="1"/>
  <c r="O22" i="1"/>
  <c r="N22" i="1"/>
  <c r="M22" i="1"/>
  <c r="AH21" i="1"/>
  <c r="AG21" i="1"/>
  <c r="AF21" i="1"/>
  <c r="AE21" i="1"/>
  <c r="AB21" i="1"/>
  <c r="AA21" i="1"/>
  <c r="Z21" i="1"/>
  <c r="Y21" i="1"/>
  <c r="V21" i="1"/>
  <c r="U21" i="1"/>
  <c r="T21" i="1"/>
  <c r="S21" i="1"/>
  <c r="P21" i="1"/>
  <c r="O21" i="1"/>
  <c r="N21" i="1"/>
  <c r="M21" i="1"/>
  <c r="AG20" i="1"/>
  <c r="AE20" i="1"/>
  <c r="AA20" i="1"/>
  <c r="Y20" i="1"/>
  <c r="V20" i="1"/>
  <c r="U20" i="1"/>
  <c r="T20" i="1"/>
  <c r="S20" i="1"/>
  <c r="P20" i="1"/>
  <c r="O20" i="1"/>
  <c r="N20" i="1"/>
  <c r="M20" i="1"/>
  <c r="AH18" i="1"/>
  <c r="AG18" i="1"/>
  <c r="AF18" i="1"/>
  <c r="AE18" i="1"/>
  <c r="AB18" i="1"/>
  <c r="AA18" i="1"/>
  <c r="Z18" i="1"/>
  <c r="Y18" i="1"/>
  <c r="V18" i="1"/>
  <c r="U18" i="1"/>
  <c r="T18" i="1"/>
  <c r="S18" i="1"/>
  <c r="P18" i="1"/>
  <c r="O18" i="1"/>
  <c r="N18" i="1"/>
  <c r="M18" i="1"/>
  <c r="AH17" i="1"/>
  <c r="AG17" i="1"/>
  <c r="AF17" i="1"/>
  <c r="AE17" i="1"/>
  <c r="AB17" i="1"/>
  <c r="AA17" i="1"/>
  <c r="Z17" i="1"/>
  <c r="Y17" i="1"/>
  <c r="V17" i="1"/>
  <c r="U17" i="1"/>
  <c r="T17" i="1"/>
  <c r="S17" i="1"/>
  <c r="P17" i="1"/>
  <c r="O17" i="1"/>
  <c r="N17" i="1"/>
  <c r="M17" i="1"/>
  <c r="AH16" i="1"/>
  <c r="AG16" i="1"/>
  <c r="AF16" i="1"/>
  <c r="AE16" i="1"/>
  <c r="AB16" i="1"/>
  <c r="AA16" i="1"/>
  <c r="Z16" i="1"/>
  <c r="Y16" i="1"/>
  <c r="V16" i="1"/>
  <c r="U16" i="1"/>
  <c r="T16" i="1"/>
  <c r="S16" i="1"/>
  <c r="P16" i="1"/>
  <c r="O16" i="1"/>
  <c r="N16" i="1"/>
  <c r="M16" i="1"/>
  <c r="AH9" i="1"/>
  <c r="AG9" i="1"/>
  <c r="AF9" i="1"/>
  <c r="AE9" i="1"/>
  <c r="AB9" i="1"/>
  <c r="AA9" i="1"/>
  <c r="Z9" i="1"/>
  <c r="Y9" i="1"/>
  <c r="V9" i="1"/>
  <c r="U9" i="1"/>
  <c r="T9" i="1"/>
  <c r="S9" i="1"/>
  <c r="P9" i="1"/>
  <c r="O9" i="1"/>
  <c r="N9" i="1"/>
  <c r="M9" i="1"/>
  <c r="AH8" i="1"/>
  <c r="AG8" i="1"/>
  <c r="AF8" i="1"/>
  <c r="AE8" i="1"/>
  <c r="AB8" i="1"/>
  <c r="AA8" i="1"/>
  <c r="Z8" i="1"/>
  <c r="Y8" i="1"/>
  <c r="V8" i="1"/>
  <c r="U8" i="1"/>
  <c r="T8" i="1"/>
  <c r="S8" i="1"/>
  <c r="P8" i="1"/>
  <c r="O8" i="1"/>
  <c r="N8" i="1"/>
  <c r="M8" i="1"/>
  <c r="AG7" i="1"/>
  <c r="AE7" i="1"/>
  <c r="AA7" i="1"/>
  <c r="Y7" i="1"/>
  <c r="V7" i="1"/>
  <c r="U7" i="1"/>
  <c r="T7" i="1"/>
  <c r="S7" i="1"/>
  <c r="P7" i="1"/>
  <c r="O7" i="1"/>
  <c r="N7" i="1"/>
  <c r="M7" i="1"/>
  <c r="AA620" i="1" l="1"/>
  <c r="U642" i="1"/>
  <c r="Y642" i="1"/>
  <c r="U620" i="1"/>
  <c r="AG642" i="1"/>
  <c r="M642" i="1"/>
  <c r="AE620" i="1"/>
  <c r="O620" i="1"/>
</calcChain>
</file>

<file path=xl/sharedStrings.xml><?xml version="1.0" encoding="utf-8"?>
<sst xmlns="http://schemas.openxmlformats.org/spreadsheetml/2006/main" count="9389" uniqueCount="3781">
  <si>
    <t>FULL TAXONOMY</t>
  </si>
  <si>
    <t>PROVIDER COUNTS FROM DHF-DASHBOARD MAP (dhf-dashboard.pages.dev, May 2025)</t>
  </si>
  <si>
    <t>DE Population</t>
  </si>
  <si>
    <t>NCC Population</t>
  </si>
  <si>
    <t>KC Population</t>
  </si>
  <si>
    <t>SC Population</t>
  </si>
  <si>
    <t>nucc_taxonomy</t>
  </si>
  <si>
    <t>Section</t>
  </si>
  <si>
    <t>Grouping</t>
  </si>
  <si>
    <t>Classification</t>
  </si>
  <si>
    <t>Specialization</t>
  </si>
  <si>
    <t>DELPROS/Other License Type</t>
  </si>
  <si>
    <t>Display Name</t>
  </si>
  <si>
    <t>Current National Ratio</t>
  </si>
  <si>
    <t>Ideal National Ratio</t>
  </si>
  <si>
    <t>Delaware Current Count</t>
  </si>
  <si>
    <t>Delaware Current Ratio</t>
  </si>
  <si>
    <t>DE Adt. Prc. Req. for Gen. Ratio</t>
  </si>
  <si>
    <t>Generous % of Ideal DE</t>
  </si>
  <si>
    <t>DE Adt. Prc. Req. for Cts. Ratio</t>
  </si>
  <si>
    <t>Cautious % of Ideal DE</t>
  </si>
  <si>
    <t>NCC Current Count</t>
  </si>
  <si>
    <t>NCC Current Ratio</t>
  </si>
  <si>
    <t>NCC Adt. Prc. Req. for Gen. Ratio</t>
  </si>
  <si>
    <t>Generous % of Ideal NCC</t>
  </si>
  <si>
    <t>NCC  Adt. Prc. Req. for Cts. Ratio</t>
  </si>
  <si>
    <t>Cautious % of Ideal NCC</t>
  </si>
  <si>
    <t>KC Current Count</t>
  </si>
  <si>
    <t>KC Current Ratio</t>
  </si>
  <si>
    <t>KC Adt. Prc. Req. for Gen. Ratio</t>
  </si>
  <si>
    <t>Generous % of Ideal KC</t>
  </si>
  <si>
    <t>KC  Adt. Prc. Req. for Cts. Ratio</t>
  </si>
  <si>
    <t>Cautious % of Ideal KC</t>
  </si>
  <si>
    <t>SC Current Count</t>
  </si>
  <si>
    <t>SC Current Ratio</t>
  </si>
  <si>
    <t>SC Adt. Prc. Req. for Gen. Ratio</t>
  </si>
  <si>
    <t>Generous % of Ideal SC</t>
  </si>
  <si>
    <t>SC  Adt. Prc. Req. for Cts. Ratio</t>
  </si>
  <si>
    <t>Cautious % of Ideal SC</t>
  </si>
  <si>
    <t>207KA0200X</t>
  </si>
  <si>
    <t>Individual</t>
  </si>
  <si>
    <t>Allopathic &amp; Osteopathic Physicians</t>
  </si>
  <si>
    <t>Allergy &amp; Immunology</t>
  </si>
  <si>
    <t>Allergy</t>
  </si>
  <si>
    <t>Allergy Physician</t>
  </si>
  <si>
    <t>1:66,00-70,000</t>
  </si>
  <si>
    <t>1:50,000</t>
  </si>
  <si>
    <t>Source: National Uniform Claim Committee</t>
  </si>
  <si>
    <t>207KI0005X</t>
  </si>
  <si>
    <t>Clinical &amp; Laboratory Immunology</t>
  </si>
  <si>
    <t>Clinical &amp; Laboratory Immunology (Allergy &amp; Immunology) Physician</t>
  </si>
  <si>
    <t>1:275,000</t>
  </si>
  <si>
    <t>1:25,000-50,000</t>
  </si>
  <si>
    <t>Source: National Uniform Claim Committee, 2022 &lt;br/&gt;Additional Resources: A certification was, but is no longer, issued by the American Board of Allergy and Immunology.</t>
  </si>
  <si>
    <t>207K00000X</t>
  </si>
  <si>
    <t>Physician D.O.</t>
  </si>
  <si>
    <t>Allergy &amp; Immunology Physician</t>
  </si>
  <si>
    <t>2</t>
  </si>
  <si>
    <t>1:525,958</t>
  </si>
  <si>
    <t>1:289.296</t>
  </si>
  <si>
    <t>0</t>
  </si>
  <si>
    <t>N/A</t>
  </si>
  <si>
    <t>Source: American Board of Medical Specialties, 2007, www.abms.org [7/1/2007: added definition, added source] Additional Resources: American Board of Allergy and Immunology, 2007. http://www.abai.org/ No subspecialty certificates in allergy and immunology are offered by the American Board of Allergy and Immunology (ABAI). The ABAI, however, does offer formal special pathways for physicians seeking dual certification in allergy/immunology and pediatric pulmonology; allergy/immunology and pediatric rheumatology; and allergy/immunology and adult rheumatology.</t>
  </si>
  <si>
    <t>Physician M.D.</t>
  </si>
  <si>
    <t>18</t>
  </si>
  <si>
    <t>1:58,439</t>
  </si>
  <si>
    <t>11</t>
  </si>
  <si>
    <t>1:52,599</t>
  </si>
  <si>
    <t>4</t>
  </si>
  <si>
    <t>1:47,447</t>
  </si>
  <si>
    <t>3</t>
  </si>
  <si>
    <t>1:87,836</t>
  </si>
  <si>
    <t>Total</t>
  </si>
  <si>
    <t>1:100,000-150,000</t>
  </si>
  <si>
    <t>20</t>
  </si>
  <si>
    <t>1:52,595</t>
  </si>
  <si>
    <t>13</t>
  </si>
  <si>
    <t>1:44,507</t>
  </si>
  <si>
    <t>207LA0401X</t>
  </si>
  <si>
    <t>Anesthesiology</t>
  </si>
  <si>
    <t>Addiction Medicine</t>
  </si>
  <si>
    <t>Addiction Medicine (Anesthesiology) Physician</t>
  </si>
  <si>
    <t>1:1,650,000</t>
  </si>
  <si>
    <t>1:100,000-200,000</t>
  </si>
  <si>
    <t>Source: National Uniform Claim Committee, 2009 [1/1/2010: definition added, source added] Additional Resources: A Certification of Added Qualifications (CAQ) was, but is no longer issued by the American Osteopathic Board of Anesthesiology.</t>
  </si>
  <si>
    <t>207LC0200X</t>
  </si>
  <si>
    <t>Critical Care Medicine</t>
  </si>
  <si>
    <t>Critical Care Medicine (Anesthesiology) Physician</t>
  </si>
  <si>
    <t>1:73,000</t>
  </si>
  <si>
    <t>1:50,000-100,000</t>
  </si>
  <si>
    <t>Source: American Board of Medical Specialties, 2007. www.abms.org [7/1/2007: added definition, added source; 7/1/2011: modified source]&lt;br/&gt;Additional Resources: American Board of Anesthesiology, 2007. http://www.theaba.org/; American Osteopathic Board of Anesthesiology, 2007, http://www.osteopathic.org/certification&lt;br/&gt;Board certification for Medical Doctors (MDs) is provided by the American Board of Anesthesiology. Board certification for Doctors of Osteopathy (DOs) is provided by the American Osteopathic Board of Anesthesiology.</t>
  </si>
  <si>
    <t>207LH0002X</t>
  </si>
  <si>
    <t>Hospice and Palliative Medicine</t>
  </si>
  <si>
    <t>Hospice and Palliative Medicine (Anesthesiology) Physician</t>
  </si>
  <si>
    <t>1:183,000</t>
  </si>
  <si>
    <t>Source: American Academy of Hospice and Palliative Medicine, www.aahpm.org [1/1/2007: new]</t>
  </si>
  <si>
    <t>207LP2900X</t>
  </si>
  <si>
    <t>Pain Medicine</t>
  </si>
  <si>
    <t>Pain Medicine (Anesthesiology) Physician</t>
  </si>
  <si>
    <t>1:88,000</t>
  </si>
  <si>
    <t>207LP3000X</t>
  </si>
  <si>
    <t>Pediatric Anesthesiology</t>
  </si>
  <si>
    <t>Pediatric Anesthesiology Physician</t>
  </si>
  <si>
    <t>1:244,000</t>
  </si>
  <si>
    <t>Source: American Academy of Pediatrics, www.aap.org [7/1/2006: new]</t>
  </si>
  <si>
    <t>207L00000X</t>
  </si>
  <si>
    <t>Physician Nutrition Specialist</t>
  </si>
  <si>
    <t>Physician Nutrition Specialist (Anesthesia)</t>
  </si>
  <si>
    <t>1:6,600,000</t>
  </si>
  <si>
    <t>1:1,000,000-2,000,000</t>
  </si>
  <si>
    <t>Source: National Board of Physician Nutrition Specialists, www.nbpns.org.</t>
  </si>
  <si>
    <t>Anesthesiology Physician</t>
  </si>
  <si>
    <t>32</t>
  </si>
  <si>
    <t>1:32,872</t>
  </si>
  <si>
    <t>23</t>
  </si>
  <si>
    <t>1:25,156</t>
  </si>
  <si>
    <t>5</t>
  </si>
  <si>
    <t>1:52,701</t>
  </si>
  <si>
    <t>181</t>
  </si>
  <si>
    <t>1:5,811</t>
  </si>
  <si>
    <t>125</t>
  </si>
  <si>
    <t>1:4,631</t>
  </si>
  <si>
    <t>17</t>
  </si>
  <si>
    <t>1:11,164</t>
  </si>
  <si>
    <t>39</t>
  </si>
  <si>
    <t>1:6,756</t>
  </si>
  <si>
    <t>1:20,000-25,000</t>
  </si>
  <si>
    <t>213</t>
  </si>
  <si>
    <t>1:4,938</t>
  </si>
  <si>
    <t>148</t>
  </si>
  <si>
    <t>1:3,909</t>
  </si>
  <si>
    <t>21</t>
  </si>
  <si>
    <t>1:9,037</t>
  </si>
  <si>
    <t>44</t>
  </si>
  <si>
    <t>1:5,988</t>
  </si>
  <si>
    <t>208U00000X</t>
  </si>
  <si>
    <t>Clinical Pharmacology</t>
  </si>
  <si>
    <t>Clinical Pharmacology Physician</t>
  </si>
  <si>
    <t>1:200,000-300,000</t>
  </si>
  <si>
    <t>Source: American Society for Clinical Pharmacology and Therapeutics, 2008 [7/1/2008: modified definition] Additional Resources: Clinical pharmacology is a recognized fellowship program for physicians, pharmacists, and post-doctoral researchers delivered through medical education institutions accredited by the American Board of Clinical Pharmacology. http://www.ascpt.org/; American Board of Clinical Pharmacology http://www.abcp.net/</t>
  </si>
  <si>
    <t>208C00000X</t>
  </si>
  <si>
    <t>Colon &amp; Rectal Surgery</t>
  </si>
  <si>
    <t>Colon &amp; Rectal Surgery Physician</t>
  </si>
  <si>
    <t>NA</t>
  </si>
  <si>
    <t>Source: American Board of Medical Specialties, 2007. www.abms.org [7/1/2007: added definition, added source] Additional Resources: American Board of Colon and Rectal Surgery, 2007. http://www.abcrs.org/. Board certification for Medical Doctors (MDs) is provided by the American Board of Colon and Rectal Surgery. Colon and rectal surgeons have the expertise to diagnose and often manage anorectal conditions such as hemorrhoids, fissures (painful tears in the anal lining), abscesses and fistulae (infections located around the anus and rectum) in the office setting. They also treat problems of the intestine and colon, and perform endoscopic procedures to evaluate and treat problems such as cancer, polyps (precancerous growths) and inflammatory conditions.</t>
  </si>
  <si>
    <t>6</t>
  </si>
  <si>
    <t>1:175,319</t>
  </si>
  <si>
    <t>1:192,864</t>
  </si>
  <si>
    <t>1:94,894</t>
  </si>
  <si>
    <t>1</t>
  </si>
  <si>
    <t>1:263,509</t>
  </si>
  <si>
    <t>1:200,000-250,000</t>
  </si>
  <si>
    <t>8</t>
  </si>
  <si>
    <t>1:131,489</t>
  </si>
  <si>
    <t>1:115,718</t>
  </si>
  <si>
    <t>207NI0002X</t>
  </si>
  <si>
    <t>Dermatology</t>
  </si>
  <si>
    <t>Clinical &amp; Laboratory Dermatological Immunology</t>
  </si>
  <si>
    <t>Clinical &amp; Laboratory Dermatological Immunology Physician</t>
  </si>
  <si>
    <t>1:555,000</t>
  </si>
  <si>
    <t>1:250,000-500,000</t>
  </si>
  <si>
    <t>Source: American Board of Medical Specialties, 2007. www.abms.org [7/1/2007: added definition, added source] Additional Resources: American Board of Dermatology, 2007. http://www.abderm.org/ Board certification is provided by the American Board of Dermatology.</t>
  </si>
  <si>
    <t>207ND0900X</t>
  </si>
  <si>
    <t>Dermatopathology</t>
  </si>
  <si>
    <t>Dermatopathology Physician</t>
  </si>
  <si>
    <t>Source: American Board of Medical Specialties, 2007. www.abms.org [7/1/2007: added definition, added source; 7/1/2011: modified source]&lt;br/&gt;Additional Resources: American Board of Dermatology, 2007. http://www.abderm.org/; American Osteopathic Board of Dermatology, 2007. http://www.osteopathic.org/certification&lt;br/&gt;Board certification for Medical Doctors (MDs) is provided by the American Board of Dermatology. Board certification for Doctors of Osteopathy (DOs) is provided by the American Osteopathic Board of Dermatology.</t>
  </si>
  <si>
    <t>207ND0101X</t>
  </si>
  <si>
    <t>MOHS-Micrographic Surgery</t>
  </si>
  <si>
    <t>MOHS-Micrographic Surgery Physician</t>
  </si>
  <si>
    <t>1:300,000</t>
  </si>
  <si>
    <t>Source: American College of Mohs Surgery, 2007 [1/1/2008: added definition, added source] Additional Resources: Additional Resources: http://www.mohscollege.org/; American Board of Dermatology, 2007. http://www.abderm.org/</t>
  </si>
  <si>
    <t>207NP0225X</t>
  </si>
  <si>
    <t>Pediatric Dermatology</t>
  </si>
  <si>
    <t>Pediatric Dermatology Physician</t>
  </si>
  <si>
    <t>1:943,000</t>
  </si>
  <si>
    <t>Source: American Board of Medical Specialties, 2007. www.abms.org [7/1/2007: changed definition, added source] Additional Resources: American Board of Dermatology, 2007, http://www.abderm.org/ A subspecialty certificate was approved by ABMS in 2000. ACGME Accredited Residency Program Requirements: None.</t>
  </si>
  <si>
    <t>207NS0135X</t>
  </si>
  <si>
    <t>Procedural Dermatology</t>
  </si>
  <si>
    <t>Procedural Dermatology Physician</t>
  </si>
  <si>
    <t>Source: American Board of Dermatology, 2007, www.abderm.org [1/1/2008: definition added, source added, title changed] Additional Resources: Some ABMS board certified dermatologists have completed a one-year ACGME approved fellowship in Procedural Dermatology, which has been offered since 2003. At this time the ABD does not offer subspecialty certification in Procedural Dermatology.</t>
  </si>
  <si>
    <t>207N00000X</t>
  </si>
  <si>
    <t>Dermatology Physician</t>
  </si>
  <si>
    <t>7</t>
  </si>
  <si>
    <t>1:150,273</t>
  </si>
  <si>
    <t>1:144,648</t>
  </si>
  <si>
    <t>1:63,263</t>
  </si>
  <si>
    <t>48</t>
  </si>
  <si>
    <t>1:21,914</t>
  </si>
  <si>
    <t>37</t>
  </si>
  <si>
    <t>1:15,647</t>
  </si>
  <si>
    <t>1:32,938</t>
  </si>
  <si>
    <t>1:20,000-30,000</t>
  </si>
  <si>
    <t>55</t>
  </si>
  <si>
    <t>1:19,125</t>
  </si>
  <si>
    <t>41</t>
  </si>
  <si>
    <t>1:14,112</t>
  </si>
  <si>
    <t>1:31,631</t>
  </si>
  <si>
    <t>204R00000X</t>
  </si>
  <si>
    <t>Electrodiagnostic Medicine</t>
  </si>
  <si>
    <t>Electrodiagnostic Medicine Physician</t>
  </si>
  <si>
    <t>1:100,000-130,000</t>
  </si>
  <si>
    <t>Source: American Association of Neuromuscular &amp; Electrodiagnostic Medicine, 2011. www.aanem.org [1/1/2011: new] Additional Resources: American Board of Electrodiagnostic Medicine, 2011. www.abemexam.org</t>
  </si>
  <si>
    <t>207PE0004X</t>
  </si>
  <si>
    <t>Emergency Medicine</t>
  </si>
  <si>
    <t>Emergency Medical Services</t>
  </si>
  <si>
    <t>Emergency Medical Services (Emergency Medicine) Physician</t>
  </si>
  <si>
    <t>1:3,300,000</t>
  </si>
  <si>
    <t>Source: National Uniform Claim Committee, 2009 [1/1/2010: definition added, source added] Additional Resources: A Certification of Added Qualifications (CAQ) is issued by the American Osteopathic Board of Emergency Medicine.</t>
  </si>
  <si>
    <t>207PH0002X</t>
  </si>
  <si>
    <t>Hospice and Palliative Medicine (Emergency Medicine) Physician</t>
  </si>
  <si>
    <t>207PT0002X</t>
  </si>
  <si>
    <t>Medical Toxicology</t>
  </si>
  <si>
    <t>Medical Toxicology (Emergency Medicine) Physician</t>
  </si>
  <si>
    <t>1:500,000-1,000,000</t>
  </si>
  <si>
    <t>Source: American Board of Medical Specialties, 2007. www.abms.org [7/1/2007: added definition, added source; 7/1/2011: modified source]&lt;br/&gt;Additional Resources: American Board of Emergency Medicine, 2007. http://www.abem.org/public/. American Osteopathic Board of Emergency Medicine, 2007. http://www.osteopathic.org/certification&lt;br/&gt;Board certification for Medical Doctors (MDs) is provided by the American Board of Emergency Medicine. Board certification for Doctors of Osteopathy (DOs) is provided by the American Osteopathic Board of Emergency Medicine.</t>
  </si>
  <si>
    <t>207PP0204X</t>
  </si>
  <si>
    <t>Pediatric Emergency Medicine</t>
  </si>
  <si>
    <t>Pediatric Emergency Medicine (Emergency Medicine) Physician</t>
  </si>
  <si>
    <t>Source: American Board of Medical Specialties, 2007. www.abms.org [7/1/2007: added definition, added source] Additional Resources: American Board of Emergency Medicine, 2007. http://www.abem.org/public/ Board certification is provided by the American Board of Emergency Medicine. Board certification for Medical Doctors (MDs) is provided by the American Board of Emergency Medicine.</t>
  </si>
  <si>
    <t>207PS0010X</t>
  </si>
  <si>
    <t>Sports Medicine</t>
  </si>
  <si>
    <t>Sports Medicine (Emergency Medicine) Physician</t>
  </si>
  <si>
    <t>207PE0005X</t>
  </si>
  <si>
    <t>Undersea and Hyperbaric Medicine</t>
  </si>
  <si>
    <t>Undersea and Hyperbaric Medicine (Emergency Medicine) Physician</t>
  </si>
  <si>
    <t>1:1,300,000</t>
  </si>
  <si>
    <t>Source: American Board of Emergency Medicine [7/1/2008: source added, additional resources added] Additional Resources: Additional Resources: www.abem.org &amp; American Board of Preventive Medicine www.abprevmed.org</t>
  </si>
  <si>
    <t>207P00000X</t>
  </si>
  <si>
    <t>Emergency Medicine Physician</t>
  </si>
  <si>
    <t>53</t>
  </si>
  <si>
    <t>1:19,847</t>
  </si>
  <si>
    <t>26</t>
  </si>
  <si>
    <t>1:22,253</t>
  </si>
  <si>
    <t>1:17,253</t>
  </si>
  <si>
    <t>16</t>
  </si>
  <si>
    <t>1:16,469</t>
  </si>
  <si>
    <t>Source: American Board of Medical Specialties, 2007. www.abms.org [7/1/2007: added definition, added source; 7/1/2011: modified source]&lt;br/&gt;Additional Resources: American Board of Emergency Medicine, 2007. http://www.abem.org/public/; American Osteopathic Board of Emergency Medicine, 2007. http://www.osteopathic.org/certification&lt;br/&gt;Board certification for Medical Doctors (MDs) is provided by the American Board of Emergency Medicine. Board certification for Doctors of Osteopathy (DOs) is provided by the American Osteopathic Board of Emergency Medicine.</t>
  </si>
  <si>
    <t>215</t>
  </si>
  <si>
    <t>1:4,892</t>
  </si>
  <si>
    <t>158</t>
  </si>
  <si>
    <t>1:3,664</t>
  </si>
  <si>
    <t>25</t>
  </si>
  <si>
    <t>1:7,591</t>
  </si>
  <si>
    <t>1:8,234</t>
  </si>
  <si>
    <t>1:7,300-8,250</t>
  </si>
  <si>
    <t>268</t>
  </si>
  <si>
    <t>1:3,925</t>
  </si>
  <si>
    <t>184</t>
  </si>
  <si>
    <t>1:3,144</t>
  </si>
  <si>
    <t>36</t>
  </si>
  <si>
    <t>1:5,271</t>
  </si>
  <si>
    <t>1:5,489</t>
  </si>
  <si>
    <t>207QA0401X</t>
  </si>
  <si>
    <t>Family Medicine</t>
  </si>
  <si>
    <t>Addiction Medicine (Family Medicine) Physician</t>
  </si>
  <si>
    <t>1:30,000-50,000</t>
  </si>
  <si>
    <t>Source: National Uniform Claim Committee, 2009 [1/1/2010: definition added, source added] Additional Resources: A Certification of Added Qualifications (CAQ) was, but is no longer issued by the American Osteopathic Board of Family Physicians.</t>
  </si>
  <si>
    <t>207QA0000X</t>
  </si>
  <si>
    <t>Adolescent Medicine</t>
  </si>
  <si>
    <t>Adolescent Medicine (Family Medicine) Physician</t>
  </si>
  <si>
    <t>1:5,000-10,000</t>
  </si>
  <si>
    <t>Source: American Board of Medical Specialties, 2007. www.abms.org [7/1/2007: added definition, added source; 7/1/2011: modified source]&lt;br/&gt;Additional Resources: American Board of Family Medicine, 2007. http://www.theabfm.org/. American Osteopathic Board of Family Medicine, 2007. http://www.osteopathic.org/certification&lt;br/&gt;Board certification for Medical Doctors (MDs) is provided by the American Board of Family Medicine. Board certification for Doctors of Osteopathy (DOs) is provided by the American Osteopathic Board of Family Medicine.</t>
  </si>
  <si>
    <t>207QA0505X</t>
  </si>
  <si>
    <t>Adult Medicine</t>
  </si>
  <si>
    <t>Adult Medicine Physician</t>
  </si>
  <si>
    <t>1:1,500-2,000</t>
  </si>
  <si>
    <t>207QG0300X</t>
  </si>
  <si>
    <t>Geriatric Medicine</t>
  </si>
  <si>
    <t>Geriatric Medicine (Family Medicine) Physician</t>
  </si>
  <si>
    <t>1:2,500</t>
  </si>
  <si>
    <t>Source: American Board of Medical Specialties, 2007. www.abms.org [7/1/2007: added definition, added source; 7/1/2011: modified source]&lt;br/&gt;Additional Resources: American Board of Family Medicine, 2007. http://wwwtheabfm.org/. American Osteopathic Board of Family Medicine, 2007. http://www.osteopathic.org/certification&lt;br/&gt;Board certification for Medical Doctors (MDs) is provided by the American Board of Family Medicine. Board certification for Doctors of Osteopathy (DOs) is provided by the American Osteopathic Board of Family Medicine.</t>
  </si>
  <si>
    <t>207QH0002X</t>
  </si>
  <si>
    <t>Hospice and Palliative Medicine (Family Medicine) Physician</t>
  </si>
  <si>
    <t>207QB0002X</t>
  </si>
  <si>
    <t>Obesity Medicine</t>
  </si>
  <si>
    <t>Obesity Medicine (Family Medicine) Physician</t>
  </si>
  <si>
    <t>1:10,000-15,000</t>
  </si>
  <si>
    <t>Source: American Board of Obesity Medicine, www.abom.org [10/1/2007: new, 7/1/2015: title and definition modified] Additional Resource: American Society of Bariatric Physicians, www.asbp.org.</t>
  </si>
  <si>
    <t>207QP0002X</t>
  </si>
  <si>
    <t>Physician Nutrition Specialist (Family Medicine)</t>
  </si>
  <si>
    <t>1:27,500-55,000</t>
  </si>
  <si>
    <t>207QS1201X</t>
  </si>
  <si>
    <t>Sleep Medicine</t>
  </si>
  <si>
    <t>Sleep Medicine (Family Medicine) Physician</t>
  </si>
  <si>
    <t>Source: American Academy of Sleep Medicine, 2008, www.aasm.org [7/1/2008: new]</t>
  </si>
  <si>
    <t>207QS0010X</t>
  </si>
  <si>
    <t>Sports Medicine (Family Medicine) Physician</t>
  </si>
  <si>
    <t>1:66,000-82,500</t>
  </si>
  <si>
    <t>207Q00000X</t>
  </si>
  <si>
    <t>Family Medicine Physician</t>
  </si>
  <si>
    <t>186</t>
  </si>
  <si>
    <t>1:5,655</t>
  </si>
  <si>
    <t>116</t>
  </si>
  <si>
    <t>1:4,990</t>
  </si>
  <si>
    <t>24</t>
  </si>
  <si>
    <t>1:7,907</t>
  </si>
  <si>
    <t>46</t>
  </si>
  <si>
    <t>1:5,728</t>
  </si>
  <si>
    <t>Source: American Board of Family Medicine [1/1/2007: changed title; 7/1/2007: added definition, added source; 7/1/2017: modified definition]&lt;br/&gt;Note: The American Osteopathic Board of Family Physicians certification includes extensive use of Osteopathic Manipulative Treatment (OMT), which integrates the biological, clinical, and behavioral sciences.&lt;br/&gt;Additional Resources: American Board of Family Medicine, www.theabfm.org. American Osteopathic Board of Family Physicians, www.osteopathic.org/certification&lt;br/&gt;Board certification for Medical Doctors (MDs) is provided by the American Board of Family Medicine. Board certification for Doctors of Osteopathy (DOs) is provided by the American Osteopathic Board of Family Physicians or the American Board of Family Medicine.</t>
  </si>
  <si>
    <t>382</t>
  </si>
  <si>
    <t>1:2,753</t>
  </si>
  <si>
    <t>255</t>
  </si>
  <si>
    <t>1:2,270</t>
  </si>
  <si>
    <t>52</t>
  </si>
  <si>
    <t>1:3,649</t>
  </si>
  <si>
    <t>75</t>
  </si>
  <si>
    <t>1:3,513</t>
  </si>
  <si>
    <t>1:2,000-2,500</t>
  </si>
  <si>
    <t>568</t>
  </si>
  <si>
    <t>1:1,851</t>
  </si>
  <si>
    <t>371</t>
  </si>
  <si>
    <t>1:1,559</t>
  </si>
  <si>
    <t>76</t>
  </si>
  <si>
    <t>1:2,497</t>
  </si>
  <si>
    <t>121</t>
  </si>
  <si>
    <t>1:2,177</t>
  </si>
  <si>
    <t>208D00000X</t>
  </si>
  <si>
    <t>General Practice</t>
  </si>
  <si>
    <t>General Practice Physician</t>
  </si>
  <si>
    <t>1:82,656</t>
  </si>
  <si>
    <t>45</t>
  </si>
  <si>
    <t>1:23,375</t>
  </si>
  <si>
    <t>34</t>
  </si>
  <si>
    <t>1:17,028</t>
  </si>
  <si>
    <t>9</t>
  </si>
  <si>
    <t>1:29,278</t>
  </si>
  <si>
    <t>1:20,229</t>
  </si>
  <si>
    <t>208M00000X</t>
  </si>
  <si>
    <t>Hospitalist</t>
  </si>
  <si>
    <t>Hospitalist Physician</t>
  </si>
  <si>
    <t>1:95,628</t>
  </si>
  <si>
    <t>UNK</t>
  </si>
  <si>
    <t>1:72,324</t>
  </si>
  <si>
    <t>Source: American Society of Hospital Medicine, 2007. http://www.hospitalmedicine.org/ [7/1/2009: definition added] Additional Resources: Hospitalist is a recognized fellowship specialty program offered by many medical institutions. There is no board certification for the specialty at this point.</t>
  </si>
  <si>
    <t>65</t>
  </si>
  <si>
    <t>1:16,183</t>
  </si>
  <si>
    <t>1:12,865</t>
  </si>
  <si>
    <t>1:13,841</t>
  </si>
  <si>
    <t>1:10,916</t>
  </si>
  <si>
    <t>1:15,500</t>
  </si>
  <si>
    <t>202C00000X</t>
  </si>
  <si>
    <t>Independent Medical Examiner</t>
  </si>
  <si>
    <t>Independent Medical Examiner Physician</t>
  </si>
  <si>
    <t>1:47,000-66,000</t>
  </si>
  <si>
    <t>1:1,051,917</t>
  </si>
  <si>
    <t>1:578,952</t>
  </si>
  <si>
    <t>Source: American Board of Independent Medical Examiners, www.abime.org [1/1/2007: new]</t>
  </si>
  <si>
    <t>202D00000X</t>
  </si>
  <si>
    <t>Integrative Medicine</t>
  </si>
  <si>
    <t>Integrative Medicine Physician</t>
  </si>
  <si>
    <t>1:5,500-6,600</t>
  </si>
  <si>
    <t>Source: American Board of Physician Specialties, www.abpsus.org/aboim</t>
  </si>
  <si>
    <t>207RA0401X</t>
  </si>
  <si>
    <t>Internal Medicine</t>
  </si>
  <si>
    <t>Addiction Medicine (Internal Medicine) Physician</t>
  </si>
  <si>
    <t>Source: American Osteopathic Board of Internal Medicine, 2007. [7/1/2008: added definition, added source; 7/1/2011: modified source]&lt;br/&gt;Additional Resources: http://www.osteopathic.org/certification</t>
  </si>
  <si>
    <t>207RA0000X</t>
  </si>
  <si>
    <t>Adolescent Medicine (Internal Medicine) Physician</t>
  </si>
  <si>
    <t>1:244,000-471,000</t>
  </si>
  <si>
    <t>Source: American Board of Medical Specialties, 2007. www.abms.org [7/1/2007: added definition, added source; 7/1/2011: modified source]&lt;br/&gt;Additional Resources: American Board of Internal Medicine, 2007. http://www.abim.org/. American Osteopathic Board of Internal Medicine, 2007. http://www.osteopathic.org/certification&lt;br/&gt;Board certification for Medical Doctors (MDs) is provided by the American Board of Internal Medicine. Board certification for Doctors of Osteopathy (DOs) is provided by the American Osteopathic Board of Internal Medicine.</t>
  </si>
  <si>
    <t>207RA0002X</t>
  </si>
  <si>
    <t>Adult Congenital Heart Disease</t>
  </si>
  <si>
    <t>Adult Congenital Heart Disease Physician</t>
  </si>
  <si>
    <t>Source: American College of Cardiology, www.acc.org [7/1/2018: new]</t>
  </si>
  <si>
    <t>207RA0001X</t>
  </si>
  <si>
    <t>Advanced Heart Failure and Transplant Cardiology</t>
  </si>
  <si>
    <t>Advanced Heart Failure and Transplant Cardiology Physician</t>
  </si>
  <si>
    <t>Source: American Board of Internal Medicine, www.abim.org [7/1/2015: new]</t>
  </si>
  <si>
    <t>207RA0201X</t>
  </si>
  <si>
    <t>Allergy &amp; Immunology (Internal Medicine) Physician</t>
  </si>
  <si>
    <t>207RC0000X</t>
  </si>
  <si>
    <t>Cardiovascular Disease</t>
  </si>
  <si>
    <t>Cardiovascular Disease Physician</t>
  </si>
  <si>
    <t>1:5,000-7,500</t>
  </si>
  <si>
    <t>Source: American Osteopathic Board of Internal Medicine, 2008 [7/1/2008: added definition, added source; 7/1/2011: modified source]&lt;br/&gt;Additional Resources: American Board of Internal Medicine, http://www.abim.org/. American Osteopathic Board of Internal Medicine, https://www.osteopathic.org/certification&lt;br/&gt;Board certification for Medical Doctors (MDs) is provided by the American Board of Internal Medicine. Board certification for Doctors of Osteopathy (DOs) is provided by the American Osteopathic Board of Internal Medicine.</t>
  </si>
  <si>
    <t>207RI0001X</t>
  </si>
  <si>
    <t>Clinical &amp; Laboratory Immunology (Internal Medicine) Physician</t>
  </si>
  <si>
    <t>Source: National Uniform Claim Committee, 2009 [1/1/2010: definition added, source added] Additional Resources: A certification was, but is no longer issued by the American Board of Internal Medicine.</t>
  </si>
  <si>
    <t>207RC0001X</t>
  </si>
  <si>
    <t>Clinical Cardiac Electrophysiology</t>
  </si>
  <si>
    <t>Clinical Cardiac Electrophysiology Physician</t>
  </si>
  <si>
    <t>207RC0200X</t>
  </si>
  <si>
    <t>Critical Care Medicine (Internal Medicine) Physician</t>
  </si>
  <si>
    <t>1:2,000-3,000</t>
  </si>
  <si>
    <t>207RE0101X</t>
  </si>
  <si>
    <t>Endocrinology, Diabetes &amp; Metabolism</t>
  </si>
  <si>
    <t>Endocrinology, Diabetes &amp; Metabolism Physician</t>
  </si>
  <si>
    <t>207RG0100X</t>
  </si>
  <si>
    <t>Gastroenterology</t>
  </si>
  <si>
    <t>Gastroenterology Physician</t>
  </si>
  <si>
    <t>207RG0300X</t>
  </si>
  <si>
    <t>Geriatric Medicine (Internal Medicine) Physician</t>
  </si>
  <si>
    <t>1:2,500-3,000</t>
  </si>
  <si>
    <t>207RH0000X</t>
  </si>
  <si>
    <t>Hematology</t>
  </si>
  <si>
    <t>Hematology (Internal Medicine) Physician</t>
  </si>
  <si>
    <t>207RH0003X</t>
  </si>
  <si>
    <t>Hematology &amp; Oncology</t>
  </si>
  <si>
    <t>Hematology &amp; Oncology Physician</t>
  </si>
  <si>
    <t>1:10,000</t>
  </si>
  <si>
    <t>Source: American Osteopathic Board of Internal Medicine, 2007. [7/1/2008: definition added, source added; 7/1/2011: modified source]&lt;br/&gt;Additional Resources: http://www.osteopathic.org/certification</t>
  </si>
  <si>
    <t>207RI0008X</t>
  </si>
  <si>
    <t>Hepatology</t>
  </si>
  <si>
    <t>Hepatology Physician</t>
  </si>
  <si>
    <t>Training Programs, and/or Fellowships, Preceptorships: The American Association for the Study of Liver Diseases (AASLD) is the major professional society organized for physicians with an interest in Hepatology. A subcommittee of that organization has published guidelines for training programs in the 1992 November issue of Hepatology. Source: The American Board of Internal Medicine 9/1993 ACGME Accredited Residency Program Requirements: None</t>
  </si>
  <si>
    <t>207RH0002X</t>
  </si>
  <si>
    <t>Hospice and Palliative Medicine (Internal Medicine) Physician</t>
  </si>
  <si>
    <t>207RH0005X</t>
  </si>
  <si>
    <t>Hypertension Specialist</t>
  </si>
  <si>
    <t>Hypertension Specialist Physician</t>
  </si>
  <si>
    <t>Source: American Society of Hypertension, www.ash-us.org [7/1/2011: new] Additional Resources: The American Society of Hypertension Specialists Program offers an examination and designation for Hypertension Specialists. This subspecialty is not a Board certificate issued by either the American Board of Internal Medicine or the American Osteopathic Board of Internal Medicine.</t>
  </si>
  <si>
    <t>207RI0200X</t>
  </si>
  <si>
    <t>Infectious Disease</t>
  </si>
  <si>
    <t>Infectious Disease Physician</t>
  </si>
  <si>
    <t>207RI0011X</t>
  </si>
  <si>
    <t>Interventional Cardiology</t>
  </si>
  <si>
    <t>Interventional Cardiology Physician</t>
  </si>
  <si>
    <t>Source: American Board of Medical Specialties, 2007. www.abms.org [7/1/2007: added definition, added source] Additional Resources: American Board of Internal Medicine, 2007. http://www.abim.org/ Board Certification for Medical Doctors (MDs) is provided by the American Board of Internal Medicine. ACGME Accredited Residency Program Requirements: 1 year of training plus a prerequisite of 3 years Internal Medicine, 3 years Cardiovascular Disease for a total of 7 years. ABMS Approved Subspecialty Certificate (Internal Medicine)</t>
  </si>
  <si>
    <t>207RM1200X</t>
  </si>
  <si>
    <t>Magnetic Resonance Imaging (MRI)</t>
  </si>
  <si>
    <t>Magnetic Resonance Imaging (MRI) Internal Medicine Physician</t>
  </si>
  <si>
    <t>207RX0202X</t>
  </si>
  <si>
    <t>Medical Oncology</t>
  </si>
  <si>
    <t>Medical Oncology Physician</t>
  </si>
  <si>
    <t>Source: American Board of Medical Specialties, 2007. www.abms.org [7/1/2007: added definition, added source. 11/5/2007: corrected definition]</t>
  </si>
  <si>
    <t>207RN0300X</t>
  </si>
  <si>
    <t>Nephrology</t>
  </si>
  <si>
    <t>Nephrology Physician</t>
  </si>
  <si>
    <t>207RB0002X</t>
  </si>
  <si>
    <t>Obesity Medicine (Internal Medicine) Physician</t>
  </si>
  <si>
    <t>207RP1002X</t>
  </si>
  <si>
    <t>Physician Nutrition Specialist (Internal Medicine)</t>
  </si>
  <si>
    <t>1:10,000-20,000</t>
  </si>
  <si>
    <t>207RP1001X</t>
  </si>
  <si>
    <t>Pulmonary Disease</t>
  </si>
  <si>
    <t>Pulmonary Disease Physician</t>
  </si>
  <si>
    <t>207RR0500X</t>
  </si>
  <si>
    <t>Rheumatology</t>
  </si>
  <si>
    <t>Rheumatology Physician</t>
  </si>
  <si>
    <t>207RS0012X</t>
  </si>
  <si>
    <t>Sleep Medicine (Internal Medicine) Physician</t>
  </si>
  <si>
    <t>Source: American Academy of Sleep Medicine, www.aasm.org [7/1/2006: new]</t>
  </si>
  <si>
    <t>207RS0010X</t>
  </si>
  <si>
    <t>Sports Medicine (Internal Medicine) Physician</t>
  </si>
  <si>
    <t>207RT0003X</t>
  </si>
  <si>
    <t>Transplant Hepatology</t>
  </si>
  <si>
    <t>Transplant Hepatology Physician</t>
  </si>
  <si>
    <t>1:2,000,000-3,000,000</t>
  </si>
  <si>
    <t>Source: American Board of Medical Specialties, 2007. www.abms.org [7/1/2007: new] Additional Resources: American Board of Internal Medicine, 2007. http://www.abim.org/. Board certification for Medical Doctors (MDs) is provided by the American Board of Internal Medicine.</t>
  </si>
  <si>
    <t>207R00000X</t>
  </si>
  <si>
    <t>Internal Medicine Physician</t>
  </si>
  <si>
    <t>183</t>
  </si>
  <si>
    <t>133</t>
  </si>
  <si>
    <t>1:4,350</t>
  </si>
  <si>
    <t>1:10,543</t>
  </si>
  <si>
    <t>985</t>
  </si>
  <si>
    <t>1:1,067</t>
  </si>
  <si>
    <t>636</t>
  </si>
  <si>
    <t>1:909</t>
  </si>
  <si>
    <t>139</t>
  </si>
  <si>
    <t>1:1,365</t>
  </si>
  <si>
    <t>210</t>
  </si>
  <si>
    <t>1:1,254</t>
  </si>
  <si>
    <t>1168</t>
  </si>
  <si>
    <t>1:900</t>
  </si>
  <si>
    <t>769</t>
  </si>
  <si>
    <t>1:752</t>
  </si>
  <si>
    <t>157</t>
  </si>
  <si>
    <t>1:1,208</t>
  </si>
  <si>
    <t>242</t>
  </si>
  <si>
    <t>1:1,089</t>
  </si>
  <si>
    <t>209800000X</t>
  </si>
  <si>
    <t>Legal Medicine</t>
  </si>
  <si>
    <t>Legal Medicine (M.D./D.O.) Physician</t>
  </si>
  <si>
    <t>1:350,639</t>
  </si>
  <si>
    <t>1:289,476</t>
  </si>
  <si>
    <t>Source: American Board of Legal Medicine 08/1992. www.ablminc.org [7/1/2009: definition reformatted] Additional Resources: Training Programs, and/or Fellowships, Preceptorships: Certification available through the American Board of Legal Medicine. ACGME Accredited Residency Program Requirements: None.</t>
  </si>
  <si>
    <t>207SG0202X</t>
  </si>
  <si>
    <t>Medical Genetics</t>
  </si>
  <si>
    <t>Clinical Biochemical Genetics</t>
  </si>
  <si>
    <t>Clinical Biochemical Genetics Physician</t>
  </si>
  <si>
    <t>Source: American Board of Medical Specialties, 2007. www.abms.org [7/1/2007: definition added, source added] Additional Resources: American Board of Medical Genetics, 2007. http://www.abmg.org/. Board certification for Medical Doctors (MDs) is provided by the American Board of Medical Genetics.</t>
  </si>
  <si>
    <t>207SC0300X</t>
  </si>
  <si>
    <t>Clinical Cytogenetics</t>
  </si>
  <si>
    <t>Clinical Cytogenetics Physician</t>
  </si>
  <si>
    <t>Source: American Board of Medical Specialties, 2007. www.abms.org [7/1/2007: definition added, source added] Additional Resources: American Board of Medical Genetics, 2007. http://www.abmg.org/. Board certification for Medical Doctors (MDs) is provided by the American Board of Medical Genetics. A general certificate was first issued by the ABMS in 1982. ACGME Accredited Residency Program Requirements: None.</t>
  </si>
  <si>
    <t>207SG0201X</t>
  </si>
  <si>
    <t>Clinical Genetics (M.D.)</t>
  </si>
  <si>
    <t>Clinical Genetics (M.D.) Physician</t>
  </si>
  <si>
    <t>207SG0203X</t>
  </si>
  <si>
    <t>Clinical Molecular Genetics</t>
  </si>
  <si>
    <t>Clinical Molecular Genetics Physician</t>
  </si>
  <si>
    <t>207SG0207X</t>
  </si>
  <si>
    <t>Medical Biochemical Genetics</t>
  </si>
  <si>
    <t>Source: American Board of Medical Genetics and Genomics, www.abmgg.org. [10/1/2023: New]</t>
  </si>
  <si>
    <t>207SM0001X</t>
  </si>
  <si>
    <t>Molecular Genetic Pathology</t>
  </si>
  <si>
    <t>Molecular Genetic Pathology (Medical Genetics) Physician</t>
  </si>
  <si>
    <t>Source: American Board of Medical Specialties, 2007. www.abms.org [7/1/2007: definition added, source added] Additional Resources: American Board of Medical Genetics, 2007. http://www.abmg.org/. Board certification for Medical Doctors (MDs) is provided by the American Board of Medical Genetics. A subspecialty certificate for MGG was approved by the ABMS in 1999. ACGME Accredited Residency Program Requirements: Proposal under development.</t>
  </si>
  <si>
    <t>207SG0205X</t>
  </si>
  <si>
    <t>Ph.D. Medical Genetics</t>
  </si>
  <si>
    <t>Ph.D. Medical Genetics Physician</t>
  </si>
  <si>
    <t>207SG000X - CAT</t>
  </si>
  <si>
    <t>Medical Geneticist</t>
  </si>
  <si>
    <t>DOES NOT EXIST - AGGREGATE FOR DATA PURPOSES ONLY</t>
  </si>
  <si>
    <t>1:210,383</t>
  </si>
  <si>
    <t>207T00000X</t>
  </si>
  <si>
    <t>Neurological Surgery</t>
  </si>
  <si>
    <t>Neurological Surgery Physician</t>
  </si>
  <si>
    <t>Source: American Board of Medical Specialties, 2007. www.abms.org [7/1/2007: definition added, source added] Additional Resources: American Board of Neurological Surgery, 2007. http://www.abns.org/. Board certification for Medical Doctors (MDs) is provided by the American Board of Neurological Surgery.</t>
  </si>
  <si>
    <t>1:40,458</t>
  </si>
  <si>
    <t>19</t>
  </si>
  <si>
    <t>1:30,462</t>
  </si>
  <si>
    <t>1:70,000-88,000</t>
  </si>
  <si>
    <t>29</t>
  </si>
  <si>
    <t>1:36,273</t>
  </si>
  <si>
    <t>1:21,087</t>
  </si>
  <si>
    <t>204D00000X</t>
  </si>
  <si>
    <t>Neuromusculoskeletal Medicine &amp; OMM</t>
  </si>
  <si>
    <t>Neuromusculoskeletal Medicine &amp; OMM Physician</t>
  </si>
  <si>
    <t>1:578,789</t>
  </si>
  <si>
    <t>Source: American Osteopathic Association, 2017 [7/1/2017: added definition]&lt;br/&gt;Additional Resources: American Osteopathic Board of Neuromusculoskeletal Medicine, 2017, http://www.osteopathic.org/certification</t>
  </si>
  <si>
    <t>204C00000X</t>
  </si>
  <si>
    <t>Neuromusculoskeletal Medicine, Sports Medicine</t>
  </si>
  <si>
    <t>Sports Medicine (Neuromusculoskeletal Medicine) Physician</t>
  </si>
  <si>
    <t>Source: American Osteopathic Association&lt;br/&gt;Additional Resources: AOA Osteopathic Board Certification in Neuromusculoskeletal Medicine; https://certification.osteopathic.org/sports-medicine/&lt;br/&gt;</t>
  </si>
  <si>
    <t>207UN0903X</t>
  </si>
  <si>
    <t>Nuclear Medicine</t>
  </si>
  <si>
    <t>In Vivo &amp; In Vitro Nuclear Medicine</t>
  </si>
  <si>
    <t>In Vivo &amp; In Vitro Nuclear Medicine Physician</t>
  </si>
  <si>
    <t>Source: National Uniform Claim Committee, 2009 [1/1/2010: definition added, source added] Additional Resources: A Certification of Added Qualifications (CAQ) was, but is no longer issued by the American Osteopathic Board of Nuclear Medicine.</t>
  </si>
  <si>
    <t>207UN0901X</t>
  </si>
  <si>
    <t>Nuclear Cardiology</t>
  </si>
  <si>
    <t>Nuclear Cardiology Physician</t>
  </si>
  <si>
    <t>207UN0902X</t>
  </si>
  <si>
    <t>Nuclear Imaging &amp; Therapy</t>
  </si>
  <si>
    <t>Nuclear Imaging &amp; Therapy Physician</t>
  </si>
  <si>
    <t>207U00000X</t>
  </si>
  <si>
    <t>Nuclear Medicine Physician</t>
  </si>
  <si>
    <t>1:250,000-300,000</t>
  </si>
  <si>
    <t>1:64,328</t>
  </si>
  <si>
    <t>Source: American Board of Medical Specialties, 2007. www.abms.org [7/1/2007: definition added, source added; 7/1/2011: modified source]&lt;br/&gt;Additional Resources: American Board of Nuclear Medicine, 2007. http://www.abnm.org/. A doctor of osteopathy was able to obtain a Certificate of Added Qualifications in the field of Nuclear Medicine. The Certificate is NO longer offered.&lt;br/&gt;American Osteopathic Board of Nuclear Medicine, 2007. http://www.osteopathic.org/certification&lt;br/&gt;Board certification for Medical Doctors (MDs) is provided by the American Board of Nuclear Medicine.</t>
  </si>
  <si>
    <t>207VC0300X</t>
  </si>
  <si>
    <t>Obstetrics &amp; Gynecology</t>
  </si>
  <si>
    <t>Complex Family Planning</t>
  </si>
  <si>
    <t>Complex Family Planning Physician</t>
  </si>
  <si>
    <t>Source: National Uniform Claim Committee, 2021. Resources: Society of Family Planning, www.societyfp.org.&lt;br/&gt;</t>
  </si>
  <si>
    <t>207VC0200X</t>
  </si>
  <si>
    <t>Critical Care Medicine (Obstetrics &amp; Gynecology) Physician</t>
  </si>
  <si>
    <t>Source: American Board of Medical Specialties, 2007. www.abms.org [7/1/2007: definition added, source added; 7/1/2011: modified source]&lt;br/&gt;Additional Resources: American Board of Obstetrics and Gynecology, 2007. http://www.abog.org/. American Osteopathic Board of Obstetrics and Gynecology, 2007. http://www.osteopathic.org/certification&lt;br/&gt;Board certification for Medical Doctors (MDs) is provided by the American Board of Obstetrics and Gynecology. Board certification for Doctors of Osteopathy (DOs) is provided by the American Osteopathic Board of Obstetrics and Gynecology.</t>
  </si>
  <si>
    <t>207VX0201X</t>
  </si>
  <si>
    <t>Gynecologic Oncology</t>
  </si>
  <si>
    <t>Gynecologic Oncology Physician</t>
  </si>
  <si>
    <t>207VG0400X</t>
  </si>
  <si>
    <t>Gynecology</t>
  </si>
  <si>
    <t>Gynecology Physician</t>
  </si>
  <si>
    <t>1:1,000-2,000</t>
  </si>
  <si>
    <t>207VH0002X</t>
  </si>
  <si>
    <t>Hospice and Palliative Medicine (Obstetrics &amp; Gynecology) Physician</t>
  </si>
  <si>
    <t>207VM0101X</t>
  </si>
  <si>
    <t>Maternal &amp; Fetal Medicine</t>
  </si>
  <si>
    <t>Maternal &amp; Fetal Medicine Physician</t>
  </si>
  <si>
    <t>207VB0002X</t>
  </si>
  <si>
    <t>Obesity Medicine (Obstetrics &amp; Gynecology) Physician</t>
  </si>
  <si>
    <t>1:4,400,00</t>
  </si>
  <si>
    <t>207VX0000X</t>
  </si>
  <si>
    <t>Obstetrics</t>
  </si>
  <si>
    <t>Obstetrics Physician</t>
  </si>
  <si>
    <t>1:120,000</t>
  </si>
  <si>
    <t>207VE0102X</t>
  </si>
  <si>
    <t>Reproductive Endocrinology</t>
  </si>
  <si>
    <t>Reproductive Endocrinology Physician</t>
  </si>
  <si>
    <t>207VF0040X</t>
  </si>
  <si>
    <t>Urogynecology and Reconstructive Pelvic Surgery</t>
  </si>
  <si>
    <t>Urogynecology and Reconstructive Pelvic Surgery (Obstetrics &amp; Gynecology) Physician</t>
  </si>
  <si>
    <t>Source: American Board of Medical Specialties, 2011. [1/1/2012: new, 7/1/24: modified] Resources: www.abms.org</t>
  </si>
  <si>
    <t>207V00000X</t>
  </si>
  <si>
    <t>Obstetrics &amp; Gynecology Physician</t>
  </si>
  <si>
    <t>1:25,656</t>
  </si>
  <si>
    <t>1:23,143</t>
  </si>
  <si>
    <t>1:20,275</t>
  </si>
  <si>
    <t>1:5,748</t>
  </si>
  <si>
    <t>123</t>
  </si>
  <si>
    <t>1:4,704</t>
  </si>
  <si>
    <t>1:14,599</t>
  </si>
  <si>
    <t>47</t>
  </si>
  <si>
    <t>1:5,606</t>
  </si>
  <si>
    <t>1:2,000</t>
  </si>
  <si>
    <t>1:4,696</t>
  </si>
  <si>
    <t>1:11,861</t>
  </si>
  <si>
    <t>1:4,393</t>
  </si>
  <si>
    <t>207WX0120X</t>
  </si>
  <si>
    <t>Ophthalmology</t>
  </si>
  <si>
    <t>Cornea and External Diseases Specialist</t>
  </si>
  <si>
    <t>Cornea and External Diseases Specialist Physician</t>
  </si>
  <si>
    <t>Source: American Academy of Ophthalmology, www.aao.org [1/1/2018: new]</t>
  </si>
  <si>
    <t>207WX0009X</t>
  </si>
  <si>
    <t>Glaucoma Specialist</t>
  </si>
  <si>
    <t>Glaucoma Specialist (Ophthalmology) Physician</t>
  </si>
  <si>
    <t>Source: American Academy of Ophthalmology, www.aao.org [1/1/2017: new] Additional Resources: Association of University Professors of Ophthalmology, www.aupo.org</t>
  </si>
  <si>
    <t>207WX0109X</t>
  </si>
  <si>
    <t>Neuro-ophthalmology</t>
  </si>
  <si>
    <t>Neuro-ophthalmology Physician</t>
  </si>
  <si>
    <t>1:550,000</t>
  </si>
  <si>
    <t>Source: American Academy of Ophthalmology, www.aao.org [7/1/2017: new]&lt;br/&gt;Additional Resources: Association of University Professors of Ophthalmology, www.aupo.org.</t>
  </si>
  <si>
    <t>207WX0200X</t>
  </si>
  <si>
    <t>Ophthalmic Plastic and Reconstructive Surgery</t>
  </si>
  <si>
    <t>Ophthalmic Plastic and Reconstructive Surgery Physician</t>
  </si>
  <si>
    <t>1:150,000-200,000</t>
  </si>
  <si>
    <t>Source: American Academy of Ophthalmology, 2015. www.aao.org [1/1/2016: new]</t>
  </si>
  <si>
    <t>207WX0110X</t>
  </si>
  <si>
    <t>Pediatric Ophthalmology and Strabismus Specialist</t>
  </si>
  <si>
    <t>Pediatric Ophthalmology and Strabismus Specialist Physician Physician</t>
  </si>
  <si>
    <t>1:264,000</t>
  </si>
  <si>
    <t>207WX0107X</t>
  </si>
  <si>
    <t>Retina Specialist</t>
  </si>
  <si>
    <t>Retina Specialist (Ophthalmology) Physician</t>
  </si>
  <si>
    <t>Source: American Society of Retina Specialists, www.asrs.org [1/1/2017: new]&lt;br/&gt;Additional Resources: American Academy of Ophthalmology, www.aao.org. Macula Society, www.maculasociety.org. Retina Society, www.retinasociety.org. Association of University Professors of Ophthalmology, www.aupo.org.</t>
  </si>
  <si>
    <t>207WX0108X</t>
  </si>
  <si>
    <t>Uveitis and Ocular Inflammatory Disease</t>
  </si>
  <si>
    <t>Uveitis and Ocular Inflammatory Disease (Ophthalmology) Physician</t>
  </si>
  <si>
    <t>1:1,320,000</t>
  </si>
  <si>
    <t>Source: American Academy of Ophthalmology, www.aao.org [1/1/2017: new]&lt;br/&gt;Additional Resources: Association of University Professors of Ophthalmology, www.aupo.org</t>
  </si>
  <si>
    <t>207W00000X</t>
  </si>
  <si>
    <t>Ophthalmology Physician</t>
  </si>
  <si>
    <t>1:17,800</t>
  </si>
  <si>
    <t>1:262,979</t>
  </si>
  <si>
    <t>1:578,592</t>
  </si>
  <si>
    <t>Source: American Board of Medical Specialties, 2007. www.abms.org [7/1/2007: definition added, source added; 7/1/2011: modified source]&lt;br/&gt;Additional Resources: American Board of Ophthalmology, 2007. http://www.abop.org/. American Osteopathic Board of Ophthalmology and Otolaryngology, 2007. http://www.osteopathic.org/certification&lt;br/&gt;Board certification for Medical Doctors (MDs) is provided by the American Board of Ophthalmology. Board certification for Doctors of Osteopathy (DOs) is provided by the American Osteopathic Board of Ophthalmology and Otolaryngology.</t>
  </si>
  <si>
    <t>93</t>
  </si>
  <si>
    <t>1:11,310</t>
  </si>
  <si>
    <t>74</t>
  </si>
  <si>
    <t>1:7,818</t>
  </si>
  <si>
    <t>15</t>
  </si>
  <si>
    <t>1:17,567</t>
  </si>
  <si>
    <t>97</t>
  </si>
  <si>
    <t>1:10,844</t>
  </si>
  <si>
    <t>1:7,714</t>
  </si>
  <si>
    <t>204E00000X</t>
  </si>
  <si>
    <t>Oral &amp; Maxillofacial Surgery</t>
  </si>
  <si>
    <t>Oral &amp; Maxillofacial Surgery (D.M.D.)</t>
  </si>
  <si>
    <t>1:157,000</t>
  </si>
  <si>
    <t>Source: American College of Surgeons, 2013. www.facs.org [7/1/2013: definition added, source added, additional resources added] Additional Resources: American Board of Oral and Maxillofacial Surgery and American Association of Oral and Maxillofacial Surgeons While this is generally considered a specialty of dentistry, physicians can also be board certified as oral and maxillofacial surgeons through the American Board of Oral and Maxillofacial Surgery.</t>
  </si>
  <si>
    <t>207XS0114X</t>
  </si>
  <si>
    <t>Orthopaedic Surgery</t>
  </si>
  <si>
    <t>Adult Reconstructive Orthopaedic Surgery</t>
  </si>
  <si>
    <t>Adult Reconstructive Orthopaedic Surgery Physician</t>
  </si>
  <si>
    <t>1:177,000</t>
  </si>
  <si>
    <t>1:50,000-75,000</t>
  </si>
  <si>
    <t>Source: American Board of Medical Specialties, 2007. www.abms.org [7/1/2007: definition added, source added] Additional Resources: American Board of Orthopaedic Surgery, 2007. http://www.abos.org/. Separate board certification is not currently offered.</t>
  </si>
  <si>
    <t>207XX0004X</t>
  </si>
  <si>
    <t>Foot and Ankle Surgery</t>
  </si>
  <si>
    <t>Orthopaedic Foot and Ankle Surgery Physician</t>
  </si>
  <si>
    <t>Source: American Board of Medical Specialties, 2007. www.abms.org [7/1/2007: title modified, definition added, source added] Additional Resources: American Board of Orthopaedic Surgery, 2007. http://www.abos.org/. Separate board certification is not currently offered. ACGME Accredited Residency Program Requirements: 1 year of training with 5 years Orthopedic Surgery for a total of 6 years.</t>
  </si>
  <si>
    <t>207XS0106X</t>
  </si>
  <si>
    <t>Hand Surgery</t>
  </si>
  <si>
    <t>Orthopaedic Hand Surgery Physician</t>
  </si>
  <si>
    <t>Source: American Board of Medical Specialties, 2007. www.abms.org [7/1/2007: definition added, source added; 7/1/2011: modified source]&lt;br/&gt;Additional Resources: American Board of Orthopaedic Surgery, 2007. http://www.abos.org/. American Osteopathic Board of Orthopaedic Surgery, 2007. http://www.osteopathic.org/certification&lt;br/&gt;Board certification for Medical Doctors (MDs) is provided by the American Board of Orthopaedic Surgery. Board certification for Doctors of Osteopathy (DOs) is provided by the American Osteopathic Board of Orthopaedic Surgery.</t>
  </si>
  <si>
    <t>207XS0117X</t>
  </si>
  <si>
    <t>Orthopaedic Surgery of the Spine</t>
  </si>
  <si>
    <t>Orthopaedic Surgery of the Spine Physician</t>
  </si>
  <si>
    <t>207XX0801X</t>
  </si>
  <si>
    <t>Orthopaedic Trauma</t>
  </si>
  <si>
    <t>Orthopaedic Trauma Physician</t>
  </si>
  <si>
    <t>1:287,000</t>
  </si>
  <si>
    <t>207XP3100X</t>
  </si>
  <si>
    <t>Pediatric Orthopaedic Surgery</t>
  </si>
  <si>
    <t>Pediatric Orthopaedic Surgery Physician</t>
  </si>
  <si>
    <t>207XX0005X</t>
  </si>
  <si>
    <t>Sports Medicine (Orthopaedic Surgery) Physician</t>
  </si>
  <si>
    <t>Source: American Board of Medical Specialties, 2007. www.abms.org [7/1/2007: definition changed, source changed] Additional Resources: American Board of Orthopaedic Surgery, 2007. http://www.abos.org/. Board certification for Medical Doctors (MDs) is provided by the American Board of Orthopaedic Surgery. ACGME Accredited Program Requirements: 1 year GME in the specialty + 5 years of Orthopaedic Surgery for a total of 6 years</t>
  </si>
  <si>
    <t>207X00000X</t>
  </si>
  <si>
    <t>Orthopaedic Surgery Physician</t>
  </si>
  <si>
    <t>1:45,735</t>
  </si>
  <si>
    <t>12</t>
  </si>
  <si>
    <t>1:48,216</t>
  </si>
  <si>
    <t>109</t>
  </si>
  <si>
    <t>1:9,650</t>
  </si>
  <si>
    <t>69</t>
  </si>
  <si>
    <t>1:8,385</t>
  </si>
  <si>
    <t>1:15,815</t>
  </si>
  <si>
    <t>28</t>
  </si>
  <si>
    <t>1:9,411</t>
  </si>
  <si>
    <t>1:21,000</t>
  </si>
  <si>
    <t>132</t>
  </si>
  <si>
    <t>1:7,969</t>
  </si>
  <si>
    <t>81</t>
  </si>
  <si>
    <t>1:7,143</t>
  </si>
  <si>
    <t>1:12,652</t>
  </si>
  <si>
    <t>1:7,319</t>
  </si>
  <si>
    <t>207YS0123X</t>
  </si>
  <si>
    <t>Otolaryngology</t>
  </si>
  <si>
    <t>Facial Plastic Surgery</t>
  </si>
  <si>
    <t>Facial Plastic Surgery Physician</t>
  </si>
  <si>
    <t>Source: National Uniform Claim Committee, 2009 [1/1/2010: definition added, source added] Additional Resources: A General Certificate was, but is no longer issued by the American Osteopathic Board of Ophthalmology and Otolaryngology.</t>
  </si>
  <si>
    <t>207YX0602X</t>
  </si>
  <si>
    <t>Otolaryngic Allergy</t>
  </si>
  <si>
    <t>Otolaryngic Allergy Physician</t>
  </si>
  <si>
    <t>Source: National Uniform Claim Committee, 2009 [1/1/2010: definition added, source added] Additional Resources: A Certification of Added Qualifications (CAQ) is issued by the American Osteopathic Board of Ophthalmology and Otolaryngology.</t>
  </si>
  <si>
    <t>207YX0905X</t>
  </si>
  <si>
    <t>Otolaryngology/Facial Plastic Surgery</t>
  </si>
  <si>
    <t>Otolaryngology/Facial Plastic Surgery Physician</t>
  </si>
  <si>
    <t>Source: National Uniform Claim Committee, 2009 [1/1/2010: definition added, source added] Additional Resources: A General Certificate is issued by the American Osteopathic Board of Ophthalmology and Otolaryngology.</t>
  </si>
  <si>
    <t>207YX0901X</t>
  </si>
  <si>
    <t>Otology &amp; Neurotology</t>
  </si>
  <si>
    <t>Otology &amp; Neurotology Physician</t>
  </si>
  <si>
    <t>1:471,000</t>
  </si>
  <si>
    <t>1:300,000-400,000</t>
  </si>
  <si>
    <t>Source: American Board of Medical Specialties, 2007. www.abms.org [7/1/2007: definition added, source added] Additional Resources: American Board of Otolaryngology, 2007. http://www.aboto.org/. Board certification for Medical Doctors (MDs) is provided by the American Board of Otolaryngology.</t>
  </si>
  <si>
    <t>207YP0228X</t>
  </si>
  <si>
    <t>Pediatric Otolaryngology</t>
  </si>
  <si>
    <t>Pediatric Otolaryngology Physician</t>
  </si>
  <si>
    <t>207YX0007X</t>
  </si>
  <si>
    <t>Plastic Surgery within the Head &amp; Neck</t>
  </si>
  <si>
    <t>Plastic Surgery within the Head &amp; Neck (Otolaryngology) Physician</t>
  </si>
  <si>
    <t>1:413,000</t>
  </si>
  <si>
    <t>Source: American Board of Medical Specialties, 2007. www.abms.org [7/1/2007: definition added, source added] Additional Resources: American Board of Otolaryngology, 2007. http://www.aboto.org/. Board certification for Medical Doctors (MDs) is provided by the American Board of Otolaryngology. Board certification for Doctors of Osteopathy is currently provided in the subspecialty of Otolaryngology/Facial Plastic Surgery (see Taxonomy Code 207YX0905X)</t>
  </si>
  <si>
    <t>207YS0012X</t>
  </si>
  <si>
    <t>Sleep Medicine (Otolaryngology) Physician</t>
  </si>
  <si>
    <t>207Y00000X</t>
  </si>
  <si>
    <t>Otolaryngology Physician</t>
  </si>
  <si>
    <t>1:131,754</t>
  </si>
  <si>
    <t>Source: American Board of Medical Specialties, 2007. www.abms.org [7/1/2007: definition added, source added; 7/1/2011: modified source]&lt;br/&gt;Additional Resources: American Board of Otolaryngology, 2007. http://www.aboto.org/. American Osteopathic Board of Ophthalmology and Otolaryngology, 2007. http://www.osteopathic.org/certification&lt;br/&gt;Board certification for Medical Doctors (MDs) is provided by the American Board of Otolaryngology. Board certification for Doctors of Osteopathy (DOs) is provided by the American Osteopathic Board of Ophthalmology and Otolaryngology.</t>
  </si>
  <si>
    <t>33</t>
  </si>
  <si>
    <t>1:31,876</t>
  </si>
  <si>
    <t>1:20,664</t>
  </si>
  <si>
    <t>1:45,500</t>
  </si>
  <si>
    <t>1:28,430</t>
  </si>
  <si>
    <t>30</t>
  </si>
  <si>
    <t>1:19,286</t>
  </si>
  <si>
    <t>1:65,877</t>
  </si>
  <si>
    <t>208VP0014X</t>
  </si>
  <si>
    <t>Interventional Pain Medicine</t>
  </si>
  <si>
    <t>Interventional Pain Medicine Physician</t>
  </si>
  <si>
    <t>1:69,500</t>
  </si>
  <si>
    <t>208VP0000X</t>
  </si>
  <si>
    <t>Pain Medicine Physician</t>
  </si>
  <si>
    <t>Source: American Academy of Pain Medicine, www.painmed.org&lt;br/&gt;Additional Resources: The American Board of Pain Medicine provides Board Certification.</t>
  </si>
  <si>
    <t>208VP0000X - CAT</t>
  </si>
  <si>
    <t>1:189,789</t>
  </si>
  <si>
    <t>1:65,744</t>
  </si>
  <si>
    <t>1:50,091</t>
  </si>
  <si>
    <t>1:36,162</t>
  </si>
  <si>
    <t>207ZP0101X</t>
  </si>
  <si>
    <t>Pathology</t>
  </si>
  <si>
    <t>Anatomic Pathology</t>
  </si>
  <si>
    <t>Anatomic Pathology Physician</t>
  </si>
  <si>
    <t>1:53,000</t>
  </si>
  <si>
    <t>1:50,000-60,000</t>
  </si>
  <si>
    <t>Source: American Board of Medical Specialties, 2007. [7/1/2007: definition added, source added, 7/1/2009: definition reformatted; 7/1/2011: modified source]&lt;br/&gt;Additional Resources: American Board of Pathology, 2007. http://www.abpath.org/. American Osteopathic Board of Pathology, 2007. http://www.osteopathic.org/certification&lt;br/&gt;Board certification for Medical Doctors (MDs) is provided by the American Board of Pathology (note: this taxonomy code identifies the "anatomic pathology only" route). To acknowledge the diverse activities in the practice of pathology and to accommodate the interests of individuals wanting to enter the field, the ABP offers primary certification through the following three routes: combined anatomic pathology and clinical pathology, anatomic pathology only and clinical pathology only. Primary certification in anatomic pathology or clinical pathology may be combined with some of the subspecialty certifications.</t>
  </si>
  <si>
    <t>207ZP0102X</t>
  </si>
  <si>
    <t>Anatomic Pathology &amp; Clinical Pathology</t>
  </si>
  <si>
    <t>Anatomic Pathology &amp; Clinical Pathology Physician</t>
  </si>
  <si>
    <t>Source: American Board of Medical Specialties, 2007. www.abms.org [7/1/2007: definition added, source added, 7/1/2009: definition reformatted] Additional Resources: American Board of Pathology, 2007. http://www.abpath.org/ This taxonomy code identifies the combined anatomic pathology &amp; clinical pathology route. Board certification for Medical Doctors (MDs) is provided by the American Board of Pathology. To acknowledge the diverse activities in the practice of pathology and to accommodate the interests of individuals wanting to enter the field, the ABP offers primary certification through the following three routes: combined anatomic pathology and clinical pathology, anatomic pathology only and clinical pathology only. Primary certification in anatomic pathology or clinical pathology may be combined with some of the subspecialty certifications.</t>
  </si>
  <si>
    <t>207ZB0001X</t>
  </si>
  <si>
    <t>Blood Banking &amp; Transfusion Medicine</t>
  </si>
  <si>
    <t>Blood Banking &amp; Transfusion Medicine Physician</t>
  </si>
  <si>
    <t>Source: American Board of Medical Specialties, 2007. www.abms.org [7/1/2007: definition added, source added; 7/1/2011: modified source]&lt;br/&gt;Additional Resources: American Board of Pathology, 2007. http://www.abpath.org/. American Osteopathic Board of Pathology, 2007. http://www.osteopathic.org/certification&lt;br/&gt;Board certification for Medical Doctors (MDs) is provided by the American Board of Pathology. Board certification for Doctors of Osteopathy (DOs) was provided by the American Osteopathic Board of Pathology. The Certification is NO longer provided.</t>
  </si>
  <si>
    <t>207ZP0104X</t>
  </si>
  <si>
    <t>Chemical Pathology</t>
  </si>
  <si>
    <t>Chemical Pathology Physician</t>
  </si>
  <si>
    <t>1:1,885,000</t>
  </si>
  <si>
    <t>207ZC0008X</t>
  </si>
  <si>
    <t>Clinical Informatics</t>
  </si>
  <si>
    <t>Clinical Informatics (Pathology) Physician</t>
  </si>
  <si>
    <t>1:2,640,000</t>
  </si>
  <si>
    <t>Source: The American Board of Preventive Medicine, 2013. www.theabpm.org [1/1/2014: new] Additional Resources: The American Board of Pathology, www.abpath.org</t>
  </si>
  <si>
    <t>207ZC0006X</t>
  </si>
  <si>
    <t>Clinical Pathology</t>
  </si>
  <si>
    <t>Clinical Pathology Physician</t>
  </si>
  <si>
    <t>Source: American Board of Medical Specialties, 2007. www.abms.org [7/1/2007: new, 7/1/2009: definition reformatted] Additional Resources: American Board of Pathology, 2007. http://www.abpath.org/ This taxonomy code identifies the combined anatomic "clinical pathology only" route. Board Certification for Medical Doctors (MDs) is provided by the American Board of Pathology. To acknowledge the diverse activities in the practice of pathology and to accommodate the interests of individuals wanting to enter the field, the ABP offers primary certification through the following three routes: combined anatomic pathology and clinical pathology, anatomic pathology only and clinical pathology only. Primary certification in anatomic pathology or clinical pathology may be combined with some of the subspecialty certifications.</t>
  </si>
  <si>
    <t>207ZP0105X</t>
  </si>
  <si>
    <t>Clinical Pathology/Laboratory Medicine</t>
  </si>
  <si>
    <t>Clinical Pathology/Laboratory Medicine Physician</t>
  </si>
  <si>
    <t>Source: American Board of Medical Specialties, 2007. www.abms.org [7/1/2007: definition added, source added; 7/1/2011: modified source]&lt;br/&gt;Additional Resources: American Board of Pathology, 2007. http://www.abpath.org/. American Osteopathic Board of Pathology, 2007. http://www.osteopathic.org/certification&lt;br/&gt;Board certification for Medical Doctors (MDs) is provided by the American Board of Pathology. Board certification for Doctors of Osteopathy (DOs) is provided by the American Osteopathic Board of Pathology.</t>
  </si>
  <si>
    <t>207ZC0500X</t>
  </si>
  <si>
    <t>Cytopathology</t>
  </si>
  <si>
    <t>Cytopathology Physician</t>
  </si>
  <si>
    <t>Source: American Board of Medical Specialties, 2007. www.abms.org [7/1/2007: definition changed, source added] Additional Resources: American Board of Pathology, 2007. http://www.abpath.org/. Board certification for Medical Doctors (MDs) is provided by the American Board of Pathology.</t>
  </si>
  <si>
    <t>207ZD0900X</t>
  </si>
  <si>
    <t>Dermatopathology (Pathology) Physician</t>
  </si>
  <si>
    <t>Source: American Board of Medical Specialties, 2007. www.abms.org [7/1/2007: definition changed, source added] Additional Resources: American Board of Pathology, 2007. http://www.abpath.org/. Board certification for Medical Doctors (MDs) is provided by the American Board of Pathology. A subspecialty certificate was first issued by the ABMS in 1974. ACGME Accredited Residency Program Requirements: None.</t>
  </si>
  <si>
    <t>207ZF0201X</t>
  </si>
  <si>
    <t>Forensic Pathology</t>
  </si>
  <si>
    <t>Forensic Pathology Physician</t>
  </si>
  <si>
    <t>1:733,000</t>
  </si>
  <si>
    <t>207ZH0000X</t>
  </si>
  <si>
    <t>Hematology (Pathology) Physician</t>
  </si>
  <si>
    <t>207ZI0100X</t>
  </si>
  <si>
    <t>Immunopathology</t>
  </si>
  <si>
    <t>Immunopathology Physician</t>
  </si>
  <si>
    <t>1:4,400,000</t>
  </si>
  <si>
    <t>Source: National Uniform Claim Committee, 2009 [1/1/2010: definition added, source added] Additional Resources: A Certification of Added Qualifications (CAQ) was, but is no longer issued by the American Osteopathic Board of Pathology.</t>
  </si>
  <si>
    <t>207ZM0300X</t>
  </si>
  <si>
    <t>Medical Microbiology</t>
  </si>
  <si>
    <t>Medical Microbiology Physician</t>
  </si>
  <si>
    <t>207ZP0007X</t>
  </si>
  <si>
    <t>Molecular Genetic Pathology (Pathology) Physician</t>
  </si>
  <si>
    <t>Source: American Board of Medical Specialties, 2007. www.abms.org [7/1/2007: definition changed, source changed] Additional Resources: American Board of Pathology, 2007. http://www.abpath.org/. Board certification for Medical Doctors (MDs) is provided by the American Board of Pathology. A subspecialty certificate for MGG was approved by the ABMS in 1999. ACGME Accredited Residency Program Requirements: Proposal under development.</t>
  </si>
  <si>
    <t>207ZN0500X</t>
  </si>
  <si>
    <t>Neuropathology</t>
  </si>
  <si>
    <t>Neuropathology Physician</t>
  </si>
  <si>
    <t>207ZP0213X</t>
  </si>
  <si>
    <t>Pediatric Pathology</t>
  </si>
  <si>
    <t>Pediatric Pathology Physician</t>
  </si>
  <si>
    <t>1:7,333,000</t>
  </si>
  <si>
    <t>Source: American Board of Medical Specialties, 2007. www.abms.org [7/1/2007: definition added, source added] Additional Resources: American Board of Pathology, 2007. http://www.abpath.org/. Board certification for Medical Doctors (MDs) is provided by the American Board of Pathology.</t>
  </si>
  <si>
    <t>207ZP000X - CAT</t>
  </si>
  <si>
    <t>1:43,918</t>
  </si>
  <si>
    <t>50</t>
  </si>
  <si>
    <t>1:21,038</t>
  </si>
  <si>
    <t>35</t>
  </si>
  <si>
    <t>1:16,531</t>
  </si>
  <si>
    <t>2080A0000X</t>
  </si>
  <si>
    <t>Pediatrics</t>
  </si>
  <si>
    <t>Pediatric Adolescent Medicine Physician</t>
  </si>
  <si>
    <t>1:189,000</t>
  </si>
  <si>
    <t>Source: American Board of Medical Specialties, 2007. www.abms.org [7/1/2007: definition added, source added; 7/1/2011: modified source]&lt;br/&gt;Additional Resources: American Board of Pediatrics, 2007. http://www.abp.org/. American Osteopathic Board of Pediatrics, 2007. http://www.osteopathic.org/certification&lt;br/&gt;Board certification for Medical Doctors (MDs) is provided by the American Board of Pediatrics. Board certification for Doctors of Osteopathy (DOs) is provided by the American Osteopathic Board of Pediatrics.</t>
  </si>
  <si>
    <t>2080C0008X</t>
  </si>
  <si>
    <t>Child Abuse Pediatrics</t>
  </si>
  <si>
    <t>Child Abuse Pediatrics Physician</t>
  </si>
  <si>
    <t>1:1,100,000</t>
  </si>
  <si>
    <t>1:100,000-250,000</t>
  </si>
  <si>
    <t>Source: American Board of Medical Specialties, 2009 [7/1/2009: new]</t>
  </si>
  <si>
    <t>2080I0007X</t>
  </si>
  <si>
    <t>Pediatric Clinical &amp; Laboratory Immunology Physician</t>
  </si>
  <si>
    <t>Source: National Uniform Claim Committee, 2009 [1/1/2010: definition added, source added] Additional Resources: A certification was, but is no longer issued by the American Board of Pediatrics.</t>
  </si>
  <si>
    <t>2080P0006X</t>
  </si>
  <si>
    <t>Developmental - Behavioral Pediatrics</t>
  </si>
  <si>
    <t>Developmental - Behavioral Pediatrics Physician</t>
  </si>
  <si>
    <t>Source: American Board of Medical Specialties, 2007. www.abms.org [7/1/2007: definition changed, source changed, 3/26/2008: definition corrected] Additional Resources: American Board of Pediatrics, 2007. http://www.abp.org/. Board certification for Medical Doctors (MDs) is provided by the American Board of Pediatrics.</t>
  </si>
  <si>
    <t>2080H0002X</t>
  </si>
  <si>
    <t>Pediatric Hospice and Palliative Medicine Physician</t>
  </si>
  <si>
    <t>2080T0002X</t>
  </si>
  <si>
    <t>Pediatric Medical Toxicology Physician</t>
  </si>
  <si>
    <t>Source: American Board of Medical Specialties, 2007. www.abms.org [7/1/2007: definition changed, source added] Additional Resources: American Board of Pediatrics, 2007. http://www.abp.org/. Board certification for Medical Doctors (MDs) is provided by the American Board of Pediatrics. ACGME Accredited Residency Program Requirements: Medical Toxicology (EM) 2 years with 3-4 years Emergency Medicine for a total of 5-6 years; for Medical Toxicology (Preventive Medicine) 2 years with 3 years Preventive Medicine for a total of 5 years. Medical Toxicology (Pediatrics): None. ABMS Approved Subspecialty Certificates (Emergency Medicine) (Pediatrics) (Preventive Medicine)</t>
  </si>
  <si>
    <t>2080N0001X</t>
  </si>
  <si>
    <t>Neonatal-Perinatal Medicine</t>
  </si>
  <si>
    <t>Neonatal-Perinatal Medicine Physician</t>
  </si>
  <si>
    <t>1:412,500</t>
  </si>
  <si>
    <t>2080P0008X</t>
  </si>
  <si>
    <t>Neurodevelopmental Disabilities</t>
  </si>
  <si>
    <t>Pediatric Neurodevelopmental Disabilities Physician</t>
  </si>
  <si>
    <t>Source: National Uniform Claim Committee, www.nucc.org</t>
  </si>
  <si>
    <t>2080B0002X</t>
  </si>
  <si>
    <t>Pediatric Obesity Medicine Physician</t>
  </si>
  <si>
    <t>Source: American Board of Obesity Medicine, www.abom.org [7/1/2015: new] Additional Resource: American Society of Bariatric Physicians, www.asbp.org.</t>
  </si>
  <si>
    <t>2080P0201X</t>
  </si>
  <si>
    <t>Pediatric Allergy/Immunology</t>
  </si>
  <si>
    <t>Pediatric Allergy/Immunology Physician</t>
  </si>
  <si>
    <t>Source: National Uniform Claim Committee, 2009 [1/1/2010: title modified, definition added, source added] Additional Resources: A Certification of Special Qualifications (CSQ) is issued by the American Osteopathic Board of Pediatrics.</t>
  </si>
  <si>
    <t>2080P0202X</t>
  </si>
  <si>
    <t>Pediatric Cardiology</t>
  </si>
  <si>
    <t>Pediatric Cardiology Physician</t>
  </si>
  <si>
    <t>Source: American Board of Medical Specialties, 2007. www.abms.org [7/1/2007: definition added, source added; 7/1/2011: modified source]&lt;br/&gt;Additional Resources: American Board of Pediatrics, 2007. http://www.abp.org/. American Osteopathic Board of Pediatrics, 2007. http://www.osteopathic.org/certification&lt;br/&gt;Board certification for Medical Doctors (MDs) is provided by the American Board of Pediatrics. Board certification for Doctors of Osteopathy (DOs) was provided by the American Osteopathic Board of Pediatrics. The Certification is no longer offered.</t>
  </si>
  <si>
    <t>2080P0203X</t>
  </si>
  <si>
    <t>Pediatric Critical Care Medicine</t>
  </si>
  <si>
    <t>Pediatric Critical Care Medicine Physician</t>
  </si>
  <si>
    <t>1:254,000</t>
  </si>
  <si>
    <t>Source: American Board of Medical Specialties, 2007. www.abms.org [7/1/2007: definition changed, source added] Additional Resources: American Board of Pediatrics, 2007. http://www.abp.org/. Board certification for Medical Doctors (MDs) is provided by the American Board of Pediatrics. ACGME Accredited Residency Program Requirements: 2 years of training with 3 years Pediatrics plus 1 year Pediatric Critical Care for certification for a total of 6 years. ABMS Approved Subspecialty Certificate (Pediatrics)</t>
  </si>
  <si>
    <t>2080P0204X</t>
  </si>
  <si>
    <t>Pediatric Emergency Medicine (Pediatrics) Physician</t>
  </si>
  <si>
    <t>Source: American Board of Medical Specialties, 2007. www.abms.org [7/1/2007: definition added, source added] Additional Resources: American Board of Pediatrics, 2007. http://www.abp.org/. Board certification for Medical Doctors (MDs) is provided by the American Board of Pediatrics.</t>
  </si>
  <si>
    <t>2080P0205X</t>
  </si>
  <si>
    <t>Pediatric Endocrinology</t>
  </si>
  <si>
    <t>Pediatric Endocrinology Physician</t>
  </si>
  <si>
    <t>2080P0206X</t>
  </si>
  <si>
    <t>Pediatric Gastroenterology</t>
  </si>
  <si>
    <t>Pediatric Gastroenterology Physician</t>
  </si>
  <si>
    <t>2080P0207X</t>
  </si>
  <si>
    <t>Pediatric Hematology-Oncology</t>
  </si>
  <si>
    <t>Pediatric Hematology &amp; Oncology Physician</t>
  </si>
  <si>
    <t>1:1,467,000</t>
  </si>
  <si>
    <t>2080P0208X</t>
  </si>
  <si>
    <t>Pediatric Infectious Diseases</t>
  </si>
  <si>
    <t>Pediatric Infectious Diseases Physician</t>
  </si>
  <si>
    <t>1:1,886,000</t>
  </si>
  <si>
    <t>2080P0210X</t>
  </si>
  <si>
    <t>Pediatric Nephrology</t>
  </si>
  <si>
    <t>Pediatric Nephrology Physician</t>
  </si>
  <si>
    <t>1:1,200,000</t>
  </si>
  <si>
    <t>2080P0214X</t>
  </si>
  <si>
    <t>Pediatric Pulmonology</t>
  </si>
  <si>
    <t>Pediatric Pulmonology Physician</t>
  </si>
  <si>
    <t>2080P0216X</t>
  </si>
  <si>
    <t>Pediatric Rheumatology</t>
  </si>
  <si>
    <t>Pediatric Rheumatology Physician</t>
  </si>
  <si>
    <t>2080T0004X</t>
  </si>
  <si>
    <t>Pediatric Transplant Hepatology</t>
  </si>
  <si>
    <t>Pediatric Transplant Hepatology Physician</t>
  </si>
  <si>
    <t>1:13,200,000</t>
  </si>
  <si>
    <t>Source: American Board of Medical Specialties, 2007. www.abms.org [7/1/2007: new] Additional Resources; American Board of Pediatrics, 2007. http://www.abp.org/. Board certification for Medical Doctors (MDs) is provided by the American Board of Pediatrics.</t>
  </si>
  <si>
    <t>2080P1004X</t>
  </si>
  <si>
    <t>Physician Nutrition Specialist (Pediatrics)</t>
  </si>
  <si>
    <t>1:11,000,000</t>
  </si>
  <si>
    <t>2080S0012X</t>
  </si>
  <si>
    <t>Pediatric Sleep Medicine Physician</t>
  </si>
  <si>
    <t>1:5,500,000</t>
  </si>
  <si>
    <t>2080S0010X</t>
  </si>
  <si>
    <t>Pediatric Sports Medicine Physician</t>
  </si>
  <si>
    <t>208000000X</t>
  </si>
  <si>
    <t>Pediatrics Physician</t>
  </si>
  <si>
    <t>1:14,215</t>
  </si>
  <si>
    <t>Source: American Board of Medical Specialties, 2007. www.abms.org [7/1/2007: definition added, source added; 7/1/2011: modified source]&lt;br/&gt;Additional Resources: American Board of Pediatrics, 2007. http://www.abp.org/. American Osteopathic Board of Pediatrics, 2007. http://www.osteopathic.org/certificatio&lt;br/&gt;Board certification for Medical Doctors (MDs) is provided by the American Board of Pediatrics. Board certification for Doctors of Osteopathy (DOs) is provided by the American Osteopathic Board of Pediatrics.</t>
  </si>
  <si>
    <t>386</t>
  </si>
  <si>
    <t>1:2,725</t>
  </si>
  <si>
    <t>320</t>
  </si>
  <si>
    <t>1:1,808</t>
  </si>
  <si>
    <t>1:8,251</t>
  </si>
  <si>
    <t>43</t>
  </si>
  <si>
    <t>1:6,128</t>
  </si>
  <si>
    <t>1:13,500</t>
  </si>
  <si>
    <t>460</t>
  </si>
  <si>
    <t>1:2,286</t>
  </si>
  <si>
    <t>389</t>
  </si>
  <si>
    <t>1:1,487</t>
  </si>
  <si>
    <t>1:7,299</t>
  </si>
  <si>
    <t>1:5,855</t>
  </si>
  <si>
    <t>202K00000X</t>
  </si>
  <si>
    <t>Phlebology</t>
  </si>
  <si>
    <t>Phlebology Physician</t>
  </si>
  <si>
    <t>1:188,500</t>
  </si>
  <si>
    <t>Source: American College of Phlebology 12/2006. www.phelbology.org [1/1/2007: new, 7/1/2009: definition reformatted] Additional Resources: Training Programs, Fellowships, and/or Preceptorships: Certification exam is being established by the American Board of Phlebology. ACGME Accredited Residency Program Requirements: None</t>
  </si>
  <si>
    <t>2081P0301X</t>
  </si>
  <si>
    <t>Physical Medicine &amp; Rehabilitation</t>
  </si>
  <si>
    <t>Brain Injury Medicine</t>
  </si>
  <si>
    <t>Brain Injury Medicine (Physical Medicine &amp; Rehabilitation) Physician</t>
  </si>
  <si>
    <t>Source: American Board of Physical Medicine and Rehabilitation, 2015. www.abpmr.org [1/1/2016: new]</t>
  </si>
  <si>
    <t>2081H0002X</t>
  </si>
  <si>
    <t>Hospice and Palliative Medicine (Physical Medicine &amp; Rehabilitation) Physician</t>
  </si>
  <si>
    <t>1:1,015,000</t>
  </si>
  <si>
    <t>2081N0008X</t>
  </si>
  <si>
    <t>Neuromuscular Medicine</t>
  </si>
  <si>
    <t>Neuromuscular Medicine (Physical Medicine &amp; Rehabilitation) Physician</t>
  </si>
  <si>
    <t>1:330,000</t>
  </si>
  <si>
    <t>Source: American Board of Medical Specialties, 2007. www.abms.org [7/1/2007: new] Additional Resources: American Board of Physical Medicine and Rehabilitation, 2007. http://www.abpmr.org/. Board certification for Medical Doctors (MDs) is provided by the American Board of Physical Medicine and Rehabilitation.</t>
  </si>
  <si>
    <t>2081P2900X</t>
  </si>
  <si>
    <t>Pain Medicine (Physical Medicine &amp; Rehabilitation) Physician</t>
  </si>
  <si>
    <t>1:220,000-275,000</t>
  </si>
  <si>
    <t>Source: American Board of Medical Specialties, 2007. www.abms.org [7/1/2007: definition changed, source changed] Additional Resources: American Board of Physical Medicine and Rehabilitation, 2007. http://www.abpmr.org/. Board certification for Medical Doctors (MDs) is provided by the American Board of Physical Medicine and Rehabilitation. A subspecialty certificate was approved by the ABMS in 1999. ACGME Accredited Residency Program Requirements: Proposal under development.</t>
  </si>
  <si>
    <t>2081P0010X</t>
  </si>
  <si>
    <t>Pediatric Rehabilitation Medicine</t>
  </si>
  <si>
    <t>Pediatric Rehabilitation Medicine Physician</t>
  </si>
  <si>
    <t>1:500,000-750,000</t>
  </si>
  <si>
    <t>Source: American Board of Medical Specialties, 2007. www.abms.org [7/1/2007: definition changed, source added] Additional Resources: American Board of Physical Medicine and Rehabilitation, 2007. http://www.abpmr.org/. Board certification for Medical Doctors (MDs) is provided by the American Board of Physical Medicine and Rehabilitation. A subspecialty certificate for PRM was approved by the ABMS in 1999. ACGME Accredited Residency Program Requirements: Early discussions underway</t>
  </si>
  <si>
    <t>2081P0004X</t>
  </si>
  <si>
    <t>Spinal Cord Injury Medicine</t>
  </si>
  <si>
    <t>Spinal Cord Injury Medicine Physician</t>
  </si>
  <si>
    <t>1:1,500-3,000</t>
  </si>
  <si>
    <t>Source: American Board of Medical Specialties, 2007. www.abms.org [7/1/2007: definition changed, source added] Additional Resources: American Board of Physical Medicine and Rehabilitation, 2007. http://www.abpmr.org/. Board certification for Medical Doctors (MDs) is provided by the American Board of Physical Medicine and Rehabilitation. ACGME Accredited Residency Program Requirements: 1 year of training with 3-5 years in relevant specialty for a total of 4-6 years. ABMS Approved Subspecialty Certificate: (Physical Medicine and Rehabilitation)</t>
  </si>
  <si>
    <t>2081S0010X</t>
  </si>
  <si>
    <t>Sports Medicine (Physical Medicine &amp; Rehabilitation) Physician</t>
  </si>
  <si>
    <t>1:220,000</t>
  </si>
  <si>
    <t>Source: American Board of Medical Specialties, 2009. www.abms.org [7/1/2009: definition added]</t>
  </si>
  <si>
    <t>208100000X</t>
  </si>
  <si>
    <t>Physical Medicine &amp; Rehabilitation Physician</t>
  </si>
  <si>
    <t>1:42,076</t>
  </si>
  <si>
    <t>Source: American Board of Medical Specialties, 2007. www.abms.org [7/1/2007: definition added, source added; 7/1/2011: modified source]&lt;br/&gt;Additional Resources: American Board of Physical Medicine and Rehabilitation, 2007. http://www.abpmr.org/. American Osteopathic Board of Physical Medicine and Rehabilitation, 2007. http://www.osteopathic.org/certification&lt;br/&gt;Board certification for Medical Doctors (MDs) is provided by the American Board of Physical Medicine and Rehabilitation. Board certification for Doctors of Osteopathy (DOs) is provided by the American Osteopathic Board of Physical Medicine and Rehabilitation.</t>
  </si>
  <si>
    <t>49</t>
  </si>
  <si>
    <t>1:21,467</t>
  </si>
  <si>
    <t>1:17,533</t>
  </si>
  <si>
    <t>1:23,723</t>
  </si>
  <si>
    <t>1:39,000</t>
  </si>
  <si>
    <t>56</t>
  </si>
  <si>
    <t>1:10,332</t>
  </si>
  <si>
    <t>29,278</t>
  </si>
  <si>
    <t>2082S0099X</t>
  </si>
  <si>
    <t>Plastic Surgery</t>
  </si>
  <si>
    <t>Plastic Surgery Within the Head and Neck</t>
  </si>
  <si>
    <t>Plastic Surgery Within the Head and Neck (Plastic Surgery) Physician</t>
  </si>
  <si>
    <t>1:390,000</t>
  </si>
  <si>
    <t>Source: American Board of Medical Specialties, 2007. www.abms.org [7/1/2007: definition changed, source added] Additional Resources: American Board of Plastic Surgery, 2007. http://www.abplsurg.org/. Board certification for Medical Doctors (MDs) is provided by the American Board of Plastic Surgery. A subspecialty certificate was approved by the ABMS in 2000. ACGME Accredited Residency Program Requirements: None.</t>
  </si>
  <si>
    <t>2082S0105X</t>
  </si>
  <si>
    <t>Surgery of the Hand</t>
  </si>
  <si>
    <t>Surgery of the Hand (Plastic Surgery) Physician</t>
  </si>
  <si>
    <t>1:210,000</t>
  </si>
  <si>
    <t>Source: American Board of Medical Specialties, 2007. www.abms.org [7/1/2007: definition added, source added] Additional Resources: American Board of Plastic Surgery, 2007. http://www.abplsurg.org/. Board certification for Medical Doctors (MDs) is provided by the American Board of Plastic Surgery.</t>
  </si>
  <si>
    <t>208200000X</t>
  </si>
  <si>
    <t>Plastic Surgery Physician</t>
  </si>
  <si>
    <t>1:47,000</t>
  </si>
  <si>
    <t>27</t>
  </si>
  <si>
    <t>1:38,959</t>
  </si>
  <si>
    <t>22</t>
  </si>
  <si>
    <t>1:26,299</t>
  </si>
  <si>
    <t>2083A0300X</t>
  </si>
  <si>
    <t>Preventive Medicine</t>
  </si>
  <si>
    <t>Addiction Medicine (Preventive Medicine) Physician</t>
  </si>
  <si>
    <t>1:277,000</t>
  </si>
  <si>
    <t>Source: American Board of Preventive Medicine, www.theabpm.org [1/1/2019: new]</t>
  </si>
  <si>
    <t>2083A0100X</t>
  </si>
  <si>
    <t>Aerospace Medicine</t>
  </si>
  <si>
    <t>Aerospace Medicine Physician</t>
  </si>
  <si>
    <t>1:1,330,000</t>
  </si>
  <si>
    <t>Source: American Board of Medical Specialties, 2007. www.abms.org [7/1/2007: definition added, source added; 7/1/2011: modified source]&lt;br/&gt;Additional Resources: American Board of Preventive Medicine, 2007. http://www.abprevmed.org/. American Osteopathic Board of Preventive Medicine, 2007. http://www.osteopathic.org/certification&lt;br/&gt;Board certification for Medical Doctors (MDs) is provided by the American Board of Preventive Medicine. Board certification for Doctors of Osteopathy (DOs) is provided by the American Osteopathic Board of Preventive Medicine.</t>
  </si>
  <si>
    <t>2083C0008X</t>
  </si>
  <si>
    <t>Clinical Informatics Physician</t>
  </si>
  <si>
    <t>1:255,000</t>
  </si>
  <si>
    <t>Source: The American Board of Preventive Medicine, 2013 [1/1/2014: new] Additional Resources: The American Board of Preventive Medicine, www.theabpm.org</t>
  </si>
  <si>
    <t>2083T0002X</t>
  </si>
  <si>
    <t>Medical Toxicology (Preventive Medicine) Physician</t>
  </si>
  <si>
    <t>1:510,000</t>
  </si>
  <si>
    <t>Source: American Board of Medical Specialties, 2007. www.abms.org [7/1/2007: definition added, source added] Additional Resources: American Board of Preventive Medicine, 2007. http://www.abprevmed.org/. Board certification for Medical Doctors (MDs) is provided by the American Board of Preventive Medicine.</t>
  </si>
  <si>
    <t>2083B0002X</t>
  </si>
  <si>
    <t>Obesity Medicine (Preventive Medicine) Physician</t>
  </si>
  <si>
    <t>1:475,000</t>
  </si>
  <si>
    <t>2083X0100X</t>
  </si>
  <si>
    <t>Occupational Medicine</t>
  </si>
  <si>
    <t>Occupational Medicine Physician</t>
  </si>
  <si>
    <t>2083P0500X</t>
  </si>
  <si>
    <t>Preventive Medicine/Occupational Environmental Medicine</t>
  </si>
  <si>
    <t>Preventive Medicine/Occupational Environmental Medicine Physician</t>
  </si>
  <si>
    <t>Source: National Uniform Claim Committee, 2009 [1/1/2010: definition added, source added] Additional Resources: A General Certificate is issued by the American Osteopathic Board of Preventive Medicine.</t>
  </si>
  <si>
    <t>2083P0901X</t>
  </si>
  <si>
    <t>Public Health &amp; General Preventive Medicine</t>
  </si>
  <si>
    <t>Public Health &amp; General Preventive Medicine Physician</t>
  </si>
  <si>
    <t>2083S0010X</t>
  </si>
  <si>
    <t>Sports Medicine (Preventive Medicine) Physician</t>
  </si>
  <si>
    <t>1:830,000</t>
  </si>
  <si>
    <t>Source: National Uniform Claim Committee, 2009 [1/1/2010: definition added, source added] Additional Resources: A Certification of Added Qualifications (CAQ) is issued by the American Osteopathic Board of Preventive Medicine.</t>
  </si>
  <si>
    <t>2083P0011X</t>
  </si>
  <si>
    <t>Undersea and Hyperbaric Medicine (Preventive Medicine) Physician</t>
  </si>
  <si>
    <t>1:1,900,000</t>
  </si>
  <si>
    <t>1:300,000-500,000</t>
  </si>
  <si>
    <t>208300000X - CAT</t>
  </si>
  <si>
    <t>14</t>
  </si>
  <si>
    <t>1:75,136</t>
  </si>
  <si>
    <t>1:64,288</t>
  </si>
  <si>
    <t>2084A0401X</t>
  </si>
  <si>
    <t>Psychiatry &amp; Neurology</t>
  </si>
  <si>
    <t>Addiction Medicine (Psychiatry &amp; Neurology) Physician</t>
  </si>
  <si>
    <t>1:110,000</t>
  </si>
  <si>
    <t>Source: American Osteopathic Board of Neurology and Psychiatry, 2007 [1/1/2008: definition added, source added; 7/1/2011: modified source]&lt;br/&gt;Additional Resources: http://www.osteopathic.org/certification</t>
  </si>
  <si>
    <t>2084P0802X</t>
  </si>
  <si>
    <t>Addiction Psychiatry</t>
  </si>
  <si>
    <t>Addiction Psychiatry Physician</t>
  </si>
  <si>
    <t>Source: The American Board of Psychiatry and Neurology, Inc. www.abpn.com [1/1/2007: new definition]</t>
  </si>
  <si>
    <t>2084B0040X</t>
  </si>
  <si>
    <t>Behavioral Neurology &amp; Neuropsychiatry</t>
  </si>
  <si>
    <t>Behavioral Neurology &amp; Neuropsychiatry Physician</t>
  </si>
  <si>
    <t>Source: National Uniform Claim Committee. [1/1/2012: new] Additional Resources: American Academy of Neurology, www.aan.com.</t>
  </si>
  <si>
    <t>2084P0301X</t>
  </si>
  <si>
    <t>Brain Injury Medicine (Psychiatry &amp; Neurology) Physician</t>
  </si>
  <si>
    <t>2084P0804X</t>
  </si>
  <si>
    <t>Child &amp; Adolescent Psychiatry</t>
  </si>
  <si>
    <t>Child &amp; Adolescent Psychiatry Physician</t>
  </si>
  <si>
    <t>1:89,000</t>
  </si>
  <si>
    <t>2084N0600X</t>
  </si>
  <si>
    <t>Clinical Neurophysiology</t>
  </si>
  <si>
    <t>Clinical Neurophysiology Physician</t>
  </si>
  <si>
    <t>1:240,000</t>
  </si>
  <si>
    <t>2084D0003X</t>
  </si>
  <si>
    <t>Diagnostic Neuroimaging</t>
  </si>
  <si>
    <t>Diagnostic Neuroimaging (Psychiatry &amp; Neurology) Physician</t>
  </si>
  <si>
    <t>1:470,000</t>
  </si>
  <si>
    <t>Source: American Academy of Neurology, www.aan.com [1/1/2007: new]</t>
  </si>
  <si>
    <t>2084E0001X</t>
  </si>
  <si>
    <t>Epilepsy</t>
  </si>
  <si>
    <t>Epilepsy Physician</t>
  </si>
  <si>
    <t>Source: American Epilepsy Society, www.aesnet.org [7/1/2021: new]</t>
  </si>
  <si>
    <t>2084F0202X</t>
  </si>
  <si>
    <t>Forensic Psychiatry</t>
  </si>
  <si>
    <t>Forensic Psychiatry Physician</t>
  </si>
  <si>
    <t>2084P0805X</t>
  </si>
  <si>
    <t>Geriatric Psychiatry</t>
  </si>
  <si>
    <t>Geriatric Psychiatry Physician</t>
  </si>
  <si>
    <t>1:250,000</t>
  </si>
  <si>
    <t>2084H0002X</t>
  </si>
  <si>
    <t>Hospice and Palliative Medicine (Psychiatry &amp; Neurology) Physician</t>
  </si>
  <si>
    <t>1:370,000</t>
  </si>
  <si>
    <t>2084A2900X</t>
  </si>
  <si>
    <t>Neurocritical Care</t>
  </si>
  <si>
    <t>Neurocritical Care Physician</t>
  </si>
  <si>
    <t>Source: Adapted from the United Council for Neurologic Subspecialties website definition at: http://www.ucns.org/go/subspecialty/neurocritical [7/1/2016: new]</t>
  </si>
  <si>
    <t>2084P0005X</t>
  </si>
  <si>
    <t>Neurodevelopmental Disabilities Physician</t>
  </si>
  <si>
    <t>1:950,000</t>
  </si>
  <si>
    <t>2084N0400X</t>
  </si>
  <si>
    <t>Neurology</t>
  </si>
  <si>
    <t>Neurology Physician</t>
  </si>
  <si>
    <t>1:95,000</t>
  </si>
  <si>
    <t>2084N0402X</t>
  </si>
  <si>
    <t>Neurology with Special Qualifications in Child Neurology</t>
  </si>
  <si>
    <t>Neurology with Special Qualifications in Child Neurology Physician</t>
  </si>
  <si>
    <t>2084N0008X</t>
  </si>
  <si>
    <t>Neuromuscular Medicine (Psychiatry &amp; Neurology) Physician</t>
  </si>
  <si>
    <t>Source: American Board of Medical Specialties, 2007. www.abms.org [7/1/2007: new] Additional Resources: American Board of Psychiatry and Neurology, 2007. http://www.abpn.org/. Board certification for Medical Doctors (MDs) is provided by the American Board of Psychiatry and Neurology</t>
  </si>
  <si>
    <t>2084B0002X</t>
  </si>
  <si>
    <t>Obesity Medicine (Psychiatry &amp; Neurology) Physician</t>
  </si>
  <si>
    <t>2084P2900X</t>
  </si>
  <si>
    <t>Pain Medicine (Psychiatry &amp; Neurology) Physician</t>
  </si>
  <si>
    <t>1:246,000</t>
  </si>
  <si>
    <t>Source: American Board of Medical Specialties, 2007. www.abms.org [7/1/2007: definition changed, source added] Additional Resources: American Board of Psychiatry and Neurology, 2007. http://www.abpn.org/. Board certification for Medical Doctors (MDs) is provided by the American Board of Psychiatry and Neurology. A subspecialty certificate was approved by ABMS in 1998. ACGME Accredited Residency Program Requirements: None.</t>
  </si>
  <si>
    <t>2084P0800X</t>
  </si>
  <si>
    <t>Psychiatry</t>
  </si>
  <si>
    <t>Psychiatry Physician</t>
  </si>
  <si>
    <t>2084P0015X</t>
  </si>
  <si>
    <t>Psychosomatic Medicine</t>
  </si>
  <si>
    <t>Psychosomatic Medicine Physician</t>
  </si>
  <si>
    <t>Source: The American Board of Psychiatry and Neurology, Inc. www.abpn.com [1/1/2007: new]</t>
  </si>
  <si>
    <t>2084S0012X</t>
  </si>
  <si>
    <t>Sleep Medicine (Psychiatry &amp; Neurology) Physician</t>
  </si>
  <si>
    <t>2084S0010X</t>
  </si>
  <si>
    <t>Sports Medicine (Psychiatry &amp; Neurology) Physician</t>
  </si>
  <si>
    <t>Source: National Uniform Claim Committee, 2009 [1/1/2010: definition added, source added] Additional Resources: A Certification of Added Qualifications (CAQ) was, but is no longer issued by the American Osteopathic Board of Neurology and Psychiatry.</t>
  </si>
  <si>
    <t>2084V0102X</t>
  </si>
  <si>
    <t>Vascular Neurology</t>
  </si>
  <si>
    <t>Vascular Neurology Physician</t>
  </si>
  <si>
    <t>208400000X - CAT</t>
  </si>
  <si>
    <t>31</t>
  </si>
  <si>
    <t>1:33,932</t>
  </si>
  <si>
    <t>1:37,957</t>
  </si>
  <si>
    <t>293</t>
  </si>
  <si>
    <t>1:3,590</t>
  </si>
  <si>
    <t>205</t>
  </si>
  <si>
    <t>1:2,822</t>
  </si>
  <si>
    <t>1:5,422</t>
  </si>
  <si>
    <t>1:4,971</t>
  </si>
  <si>
    <t>324</t>
  </si>
  <si>
    <t>1:3,246</t>
  </si>
  <si>
    <t>228</t>
  </si>
  <si>
    <t>1:2,537</t>
  </si>
  <si>
    <t>40</t>
  </si>
  <si>
    <t>1:4,745</t>
  </si>
  <si>
    <t>1:4,705</t>
  </si>
  <si>
    <t>2085B0100X</t>
  </si>
  <si>
    <t>Radiology</t>
  </si>
  <si>
    <t>Body Imaging</t>
  </si>
  <si>
    <t>Body Imaging Physician</t>
  </si>
  <si>
    <t>Source: National Uniform Claim Committee, 2008 [7/1/2008: definition added, source added] Additional Resources: The American Osteopathic Board of Radiology no longer offers a certificate in this specialty.</t>
  </si>
  <si>
    <t>2085D0003X</t>
  </si>
  <si>
    <t>Diagnostic Neuroimaging (Radiology) Physician</t>
  </si>
  <si>
    <t>2085R0202X</t>
  </si>
  <si>
    <t>Diagnostic Radiology</t>
  </si>
  <si>
    <t>Diagnostic Radiology Physician</t>
  </si>
  <si>
    <t>1:33,200</t>
  </si>
  <si>
    <t>Source: American Board of Medical Specialties, 2007. www.abms.org [7/1/2007: definition added, source added; 7/1/2011: modified source]&lt;br/&gt;Additional Resources: American Board of Radiology, 2007. http://www.theabr.org/. American Osteopathic Board of Radiology, 2007. http://www.osteopathic.org/certification&lt;br/&gt;Board certification for Medical Doctors (MDs) is provided by the American Board of Radiology. Board certification for Doctors of Osteopathy (DOs) is provided by the American Osteopathic Board of Radiology.</t>
  </si>
  <si>
    <t>2085U0001X</t>
  </si>
  <si>
    <t>Diagnostic Ultrasound</t>
  </si>
  <si>
    <t>Diagnostic Ultrasound Physician</t>
  </si>
  <si>
    <t>Source: National Uniform Claim Committee, 2008 [7/1/2008: definition added, source added] Additional Resources: The American Osteopathic Board of Radiology no longer offers a certificate in this specialty. [Note: In medical practice, Diagnostic Ultrasound is part of the scope of training and practice of a Diagnostic Radiologists - see Taxonomy Code 2085R0202X.]</t>
  </si>
  <si>
    <t>2085H0002X</t>
  </si>
  <si>
    <t>Hospice and Palliative Medicine (Radiology) Physician</t>
  </si>
  <si>
    <t>2085N0700X</t>
  </si>
  <si>
    <t>Neuroradiology</t>
  </si>
  <si>
    <t>Neuroradiology Physician</t>
  </si>
  <si>
    <t>2085N0904X</t>
  </si>
  <si>
    <t>Nuclear Radiology</t>
  </si>
  <si>
    <t>Nuclear Radiology Physician</t>
  </si>
  <si>
    <t>2085P0229X</t>
  </si>
  <si>
    <t>Pediatric Radiology</t>
  </si>
  <si>
    <t>Pediatric Radiology Physician</t>
  </si>
  <si>
    <t>Source: American Board of Medical Specialties, 2007. www.abms.org [7/1/2007: definition added, source added; 7/1/2011: modified source]&lt;br/&gt;&lt;br/&gt;Additional Resources: American Board of Radiology, 2007. http://www.theabr.org/. American Osteopathic Board of Radiology, 2007. http://www.osteopathic.org/certification&lt;br/&gt;Board certification for Medical Doctors (MDs) is provided by the American Board of Radiology. Board certification for Doctors of Osteopathy (DOs) is provided by the American Osteopathic Board of Radiology.</t>
  </si>
  <si>
    <t>2085R0001X</t>
  </si>
  <si>
    <t>Radiation Oncology</t>
  </si>
  <si>
    <t>Radiation Oncology Physician</t>
  </si>
  <si>
    <t>1:237,000</t>
  </si>
  <si>
    <t>Source: American Board of Medical Specialties, 2007. www.abms.org [7/1/2007: definition added, source added; 7/1/2011: modified source]&lt;br/&gt;Additional Resources: American Osteopathic Board of Radiology, 2007. http://www.osteopathic.org/certification</t>
  </si>
  <si>
    <t>2085R0205X</t>
  </si>
  <si>
    <t>Radiological Physics</t>
  </si>
  <si>
    <t>Radiological Physics Physician</t>
  </si>
  <si>
    <t>1:1,475,000</t>
  </si>
  <si>
    <t>Source: American Board of Medical Specialties, 2007. www.abms.org [7/1/2007: definition added, source added] Additional Resources: American Board of Radiology, 2007. http://www.theabr.org/. Board certification for Medical Doctors (MDs) is provided by the American Board of Radiology.</t>
  </si>
  <si>
    <t>2085R0203X</t>
  </si>
  <si>
    <t>Therapeutic Radiology</t>
  </si>
  <si>
    <t>Therapeutic Radiology Physician</t>
  </si>
  <si>
    <t>Source: National Uniform Claim Committee, www.nucc.org.</t>
  </si>
  <si>
    <t>2085R0204X</t>
  </si>
  <si>
    <t>Vascular &amp; Interventional Radiology</t>
  </si>
  <si>
    <t>Vascular &amp; Interventional Radiology Physician</t>
  </si>
  <si>
    <t>208500000X - CAT</t>
  </si>
  <si>
    <t>200</t>
  </si>
  <si>
    <t>1:5,259</t>
  </si>
  <si>
    <t>150</t>
  </si>
  <si>
    <t>1:3,857</t>
  </si>
  <si>
    <t>1:10,134</t>
  </si>
  <si>
    <t>221</t>
  </si>
  <si>
    <t>1:4,759</t>
  </si>
  <si>
    <t>167</t>
  </si>
  <si>
    <t>1:3,464</t>
  </si>
  <si>
    <t>1:9,086</t>
  </si>
  <si>
    <t>2086H0002X</t>
  </si>
  <si>
    <t>Surgery</t>
  </si>
  <si>
    <t>Hospice and Palliative Medicine (Surgery) Physician</t>
  </si>
  <si>
    <t>2086S0120X</t>
  </si>
  <si>
    <t>Pediatric Surgery</t>
  </si>
  <si>
    <t>Pediatric Surgery Physician</t>
  </si>
  <si>
    <t>1:144,000</t>
  </si>
  <si>
    <t>Source: American Board of Medical Specialties, 2007. www.abms.org [7/1/2007: definition added, source added] Additional Resources: American Board of Surgery, 2007. http://www.absurgery.org/. Board certification for Medical Doctors (MDs) is provided by the American Board of Surgery.</t>
  </si>
  <si>
    <t>2086P0122X</t>
  </si>
  <si>
    <t>Physician Nutrition Specialist (Surgery)</t>
  </si>
  <si>
    <t>1:334,000</t>
  </si>
  <si>
    <t>2086S0122X</t>
  </si>
  <si>
    <t>Plastic and Reconstructive Surgery</t>
  </si>
  <si>
    <t>Plastic and Reconstructive Surgery Physician</t>
  </si>
  <si>
    <t>1:41,750</t>
  </si>
  <si>
    <t>Source: National Uniform Claim Committee, 2009 [1/1/2010: definition added, source added] Additional Resources: A General Certificate is issued by the American Osteopathic Board of Surgery.</t>
  </si>
  <si>
    <t>2086S0105X</t>
  </si>
  <si>
    <t>Surgery of the Hand (Surgery) Physician</t>
  </si>
  <si>
    <t>1:112,000</t>
  </si>
  <si>
    <t>2086S0102X</t>
  </si>
  <si>
    <t>Surgical Critical Care</t>
  </si>
  <si>
    <t>Surgical Critical Care Physician</t>
  </si>
  <si>
    <t>Source: American Board of Medical Specialties, 2007. www.abms.org [7/1/2007: definition added, source added; 7/1/2011: modified source]&lt;br/&gt;Additional Resources: American Board of Surgery, 2007. http://www.absurgery.org/. American Osteopathic Board of Surgery, 2007. http://www.osteopathic.org/certification&lt;br/&gt;Board certification for Medical Doctors (MDs) is provided by the American Board of Surgery. Board certification for Doctors of Osteopathy (DOs) is provided by the American Osteopathic Board of Surgery.</t>
  </si>
  <si>
    <t>2086X0206X</t>
  </si>
  <si>
    <t>Surgical Oncology</t>
  </si>
  <si>
    <t>Surgical Oncology Physician</t>
  </si>
  <si>
    <t>1:278,000</t>
  </si>
  <si>
    <t>Source: Society of Surgical Oncology, 2007 [1/1/2008: definition added, source added, 7/1/2009: definition reformatted] Additional Resources: http://www.surgonc.org/ ; American Board of Medical Specialties, 2007, www.abms.org ; American Board of Surgery, 2007, http://www.absurgery.org/ Surgical oncology is a recognized fellowship subspecialty program of surgery. Separate board certification is not currently offered.</t>
  </si>
  <si>
    <t>2086S0127X</t>
  </si>
  <si>
    <t>Trauma Surgery</t>
  </si>
  <si>
    <t>Trauma Surgery Physician</t>
  </si>
  <si>
    <t>1:107,000</t>
  </si>
  <si>
    <t>Source: American Board of Surgery, 2007 [1/1/2008: definition added, source added] Additional Resources: http://www.absurgery.org/.</t>
  </si>
  <si>
    <t>2086S0129X</t>
  </si>
  <si>
    <t>Vascular Surgery</t>
  </si>
  <si>
    <t>Vascular Surgery Physician</t>
  </si>
  <si>
    <t>208600000X</t>
  </si>
  <si>
    <t>Surgery Physician</t>
  </si>
  <si>
    <t>1:43,8229</t>
  </si>
  <si>
    <t>1:38,572</t>
  </si>
  <si>
    <t>88</t>
  </si>
  <si>
    <t>1:6,574</t>
  </si>
  <si>
    <t>1:13,556</t>
  </si>
  <si>
    <t>1:8,783</t>
  </si>
  <si>
    <t>1:15,700</t>
  </si>
  <si>
    <t>156</t>
  </si>
  <si>
    <t>1:6,743</t>
  </si>
  <si>
    <t>103</t>
  </si>
  <si>
    <t>1:5,617</t>
  </si>
  <si>
    <t>38</t>
  </si>
  <si>
    <t>1:6,934</t>
  </si>
  <si>
    <t>208G00000X</t>
  </si>
  <si>
    <t>Thoracic Surgery (Cardiothoracic Vascular Surgery)</t>
  </si>
  <si>
    <t>Thoracic Surgery (Cardiothoracic Vascular Surgery) Physician</t>
  </si>
  <si>
    <t>1:152,000</t>
  </si>
  <si>
    <t>1:100,000-125,000</t>
  </si>
  <si>
    <t>10</t>
  </si>
  <si>
    <t>1:26,351</t>
  </si>
  <si>
    <t>Source: American Board of Medical Specialties, 2007. www.abms.org [7/1/2007: definition added, source added] Additional Resources: American Board of Thoracic Surgery, 2007. http://www.abts.org/. Board certification for Medical Doctors (MDs) is provided by the American Board of Thoracic Surgery. Thoracic surgeons have the knowledge, experience and technical skills to accurately diagnose, operate upon safely, and effectively manage patients with thoracic diseases of the chest. This requires substantial knowledge of cardiorespiratory physiology and oncology, as well as capability in the use of heart assist devices, management of abnormal heart rhythms and drainage of the chest cavity, respiratory support systems, endoscopy and invasive and noninvasive diagnostic techniques.</t>
  </si>
  <si>
    <t>204F00000X</t>
  </si>
  <si>
    <t>Transplant Surgery</t>
  </si>
  <si>
    <t>Transplant Surgery Physician</t>
  </si>
  <si>
    <t>1:477,000</t>
  </si>
  <si>
    <t>2088P0231X</t>
  </si>
  <si>
    <t>Urology</t>
  </si>
  <si>
    <t>Pediatric Urology</t>
  </si>
  <si>
    <t>Pediatric Urology Physician</t>
  </si>
  <si>
    <t>Source: American Academy of Pediatrics [7/1/2006: new]</t>
  </si>
  <si>
    <t>2088F0040X</t>
  </si>
  <si>
    <t>Urogynecology and Reconstructive Pelvic Surgery (Urology) Physician</t>
  </si>
  <si>
    <t>1:239,000</t>
  </si>
  <si>
    <t>Source: American Board of Medical Specialties, 2011. [1/1/2012: new, 7/1/2024: modified] Resources: www.abms.org</t>
  </si>
  <si>
    <t>208800000X</t>
  </si>
  <si>
    <t>Urology Physician</t>
  </si>
  <si>
    <t>Source: American Board of Medical Specialties, 2007. www.abms.org [7/1/2007: definition added, source added] Additional Resources: American Board of Urology, 2007. http://www.abu.org/. Board certification for Medical Doctors (MDs) is provided by the American Board of Urology.</t>
  </si>
  <si>
    <t>1:29,219</t>
  </si>
  <si>
    <t>1:28,929</t>
  </si>
  <si>
    <t>1:26,000</t>
  </si>
  <si>
    <t>1:27,552</t>
  </si>
  <si>
    <t>208D00000X - MIL-P</t>
  </si>
  <si>
    <t>Military Physician</t>
  </si>
  <si>
    <t>Medical-Military Provisional</t>
  </si>
  <si>
    <t>DOES NOT EXIST AS A TAXONOMY - LICENSE TYPE FROM DELRPOS ONLY</t>
  </si>
  <si>
    <t>208D00000X - MIL-R</t>
  </si>
  <si>
    <t>Medical Military Registration MD-DO</t>
  </si>
  <si>
    <t>208D00000X - TH</t>
  </si>
  <si>
    <t>Physician Telehealth</t>
  </si>
  <si>
    <t>106E00000X</t>
  </si>
  <si>
    <t>Behavioral Health &amp; Social Service Providers</t>
  </si>
  <si>
    <t>Assistant Behavior Analyst</t>
  </si>
  <si>
    <t>BCaBA</t>
  </si>
  <si>
    <t>1:37,700</t>
  </si>
  <si>
    <t>NFEBL</t>
  </si>
  <si>
    <t>Association of Professional Behavior Analysts, www.apbahome.net and Behavior Analyst Certification Board (http://www.bacb.com) [7/1/2016: new]</t>
  </si>
  <si>
    <t>103K00000X</t>
  </si>
  <si>
    <t>Behavior Analyst</t>
  </si>
  <si>
    <t>BCBA</t>
  </si>
  <si>
    <t>1:19,000</t>
  </si>
  <si>
    <t>1:2,000-5,000</t>
  </si>
  <si>
    <t>Source: Association of Professional Behavior Analysts, www.apbahome.net and Behavior Analyst Certification Board (http://www.bacb.com) [7/1/2008: new, 1/1/2016: modified definition]</t>
  </si>
  <si>
    <t>106S00000X</t>
  </si>
  <si>
    <t>Behavior Technician</t>
  </si>
  <si>
    <t>RBT</t>
  </si>
  <si>
    <t>1:1,200</t>
  </si>
  <si>
    <t>1:200-500</t>
  </si>
  <si>
    <t>103GC0700X</t>
  </si>
  <si>
    <t>Clinical Neuropsychologist</t>
  </si>
  <si>
    <t>Clinical</t>
  </si>
  <si>
    <t>Deactivated - Clinical Neuropsychologist</t>
  </si>
  <si>
    <t>[1/1/2007: marked inactive, use 103G00000X]</t>
  </si>
  <si>
    <t>103G00000X</t>
  </si>
  <si>
    <t>NO ANALOGOUS LICENSE TYPE</t>
  </si>
  <si>
    <t>1:1,320</t>
  </si>
  <si>
    <t>1:2,00-5,000</t>
  </si>
  <si>
    <t>Source: American Psychological Association, www.apa.org [1/1/2007: title modified, 1/1/2019: definition modified]</t>
  </si>
  <si>
    <t>101YA0400X</t>
  </si>
  <si>
    <t>Counselor</t>
  </si>
  <si>
    <t>Addiction (Substance Use Disorder)</t>
  </si>
  <si>
    <t>Chemical Dependency Professional</t>
  </si>
  <si>
    <t>Addiction (Substance Use Disorder) Counselor</t>
  </si>
  <si>
    <t>1:2,750</t>
  </si>
  <si>
    <t>1:10,957</t>
  </si>
  <si>
    <t>1:10,151</t>
  </si>
  <si>
    <t>1:9,038</t>
  </si>
  <si>
    <t>1:14,639</t>
  </si>
  <si>
    <t>101YM0800X - PRO</t>
  </si>
  <si>
    <t>Mental Health</t>
  </si>
  <si>
    <t>Mental Health Counselor</t>
  </si>
  <si>
    <t>101YM0800X - TH</t>
  </si>
  <si>
    <t>Interstate Telehealth</t>
  </si>
  <si>
    <t>101YP1600X</t>
  </si>
  <si>
    <t>Pastoral</t>
  </si>
  <si>
    <t>Pastoral Counselor</t>
  </si>
  <si>
    <t>1:5,500</t>
  </si>
  <si>
    <t>101YP2500X</t>
  </si>
  <si>
    <t>Professional</t>
  </si>
  <si>
    <t>Professional Couneslor of Mental Health</t>
  </si>
  <si>
    <t>Professional Counselor</t>
  </si>
  <si>
    <t>1:3,200</t>
  </si>
  <si>
    <t>""</t>
  </si>
  <si>
    <t>101YS0200X</t>
  </si>
  <si>
    <t>School</t>
  </si>
  <si>
    <t>School Counselor</t>
  </si>
  <si>
    <t>1:250-1,250</t>
  </si>
  <si>
    <t>101Y00000X - TH</t>
  </si>
  <si>
    <t>Mental Health Counselor - Telehealth</t>
  </si>
  <si>
    <t>101Y00000X - AS</t>
  </si>
  <si>
    <t>Associate Counselor of Mental Health</t>
  </si>
  <si>
    <t xml:space="preserve">101Y00000X </t>
  </si>
  <si>
    <t>1:1,008</t>
  </si>
  <si>
    <t>1:903</t>
  </si>
  <si>
    <t>1:1,164</t>
  </si>
  <si>
    <t>1:1,098</t>
  </si>
  <si>
    <t>Sources: Abridged from definitions provided by the National Board of Certified Counselors and the American Association of Pastoral Counselors.</t>
  </si>
  <si>
    <t>101200000X</t>
  </si>
  <si>
    <t>Drama Therapist</t>
  </si>
  <si>
    <t>Source: North American Drama Therapy Association, www.nadta.org [1/1/2021: new]</t>
  </si>
  <si>
    <t>106H00000X - AS</t>
  </si>
  <si>
    <t>Marriage &amp; Family Therapist</t>
  </si>
  <si>
    <t>Associate Marriage &amp; Family Therapist</t>
  </si>
  <si>
    <t>106H00000X</t>
  </si>
  <si>
    <t>1:13,661</t>
  </si>
  <si>
    <t>1:12,857</t>
  </si>
  <si>
    <t>1:6,000</t>
  </si>
  <si>
    <t>1:12,523</t>
  </si>
  <si>
    <t>1:11,572</t>
  </si>
  <si>
    <t>1:9,989</t>
  </si>
  <si>
    <t>102X00000X</t>
  </si>
  <si>
    <t>Poetry Therapist</t>
  </si>
  <si>
    <t>1:825,000</t>
  </si>
  <si>
    <t>Source: The National Federation for Biblio/Poetry Therapy [7/1/2007: new]</t>
  </si>
  <si>
    <t>102L00000X</t>
  </si>
  <si>
    <t>Psychoanalyst</t>
  </si>
  <si>
    <t>Source: Registry of Psychoanalysts published by the National Association for the Advancement of Psychoanalysis [1/1/2007: new; 7/1/2007: definition changed, source changed]</t>
  </si>
  <si>
    <t>103TA0400X</t>
  </si>
  <si>
    <t>Psychologist</t>
  </si>
  <si>
    <t>Addiction (Substance Use Disorder) Psychologist</t>
  </si>
  <si>
    <t>1:25,000</t>
  </si>
  <si>
    <t>Source: American Psychological Association, www.apa.org [1/1/2019: new definition]&lt;br/&gt;&lt;br/&gt;Additional Resources: The APA proficiency is Addiction Psychology.</t>
  </si>
  <si>
    <t>103TA0700X</t>
  </si>
  <si>
    <t>Adult Development &amp; Aging</t>
  </si>
  <si>
    <t>Adult Development &amp; Aging Psychologist</t>
  </si>
  <si>
    <t>1:37,000</t>
  </si>
  <si>
    <t>Source: American Psychological Association, www.apa.org [1/1/2019: new definition]&lt;br/&gt;&lt;br/&gt;Additional Resources: The APA specialty is "Geropsychology."</t>
  </si>
  <si>
    <t>103TC0700X</t>
  </si>
  <si>
    <t>Clinical Psychologist</t>
  </si>
  <si>
    <t>1:4,800</t>
  </si>
  <si>
    <t>Source: American Psychological Association, www.apa.org [1/1/2019: new definition]</t>
  </si>
  <si>
    <t>103TC2200X</t>
  </si>
  <si>
    <t>Clinical Child &amp; Adolescent</t>
  </si>
  <si>
    <t>Clinical Child &amp; Adolescent Psychologist</t>
  </si>
  <si>
    <t>1:18,200</t>
  </si>
  <si>
    <t>Source: American Psychological Association, www.apa.org [1/1/2007: title modified, 1/1/2019: new definition]&lt;br/&gt;&lt;br/&gt;Additional Resources: The APA specialty is "Clinical Child Psychology."</t>
  </si>
  <si>
    <t>103TB0200X</t>
  </si>
  <si>
    <t>Cognitive &amp; Behavioral</t>
  </si>
  <si>
    <t>Cognitive &amp; Behavioral Psychologist</t>
  </si>
  <si>
    <t>1:12,500</t>
  </si>
  <si>
    <t>Source: American Psychological Association, www.apa.org [1/1/2007: title modified, 1/1/2019: new definition]&lt;br/&gt;&lt;br/&gt;Additional Resources: The APA specialty is "Behavioral and Cognitive Psychology."</t>
  </si>
  <si>
    <t>103TC1900X</t>
  </si>
  <si>
    <t>Counseling</t>
  </si>
  <si>
    <t>Counseling Psychologist</t>
  </si>
  <si>
    <t>1:7,000</t>
  </si>
  <si>
    <t>103TE1000X</t>
  </si>
  <si>
    <t>Educational</t>
  </si>
  <si>
    <t>Deactivated - Psychologist</t>
  </si>
  <si>
    <t>[1/1/2007: marked inactive]</t>
  </si>
  <si>
    <t>103TE1100X</t>
  </si>
  <si>
    <t>Exercise &amp; Sports</t>
  </si>
  <si>
    <t>Exercise &amp; Sports Psychologist</t>
  </si>
  <si>
    <t>1:620,000</t>
  </si>
  <si>
    <t>Source: American Psychological Association, www.apa.org [1/1/2019: new definition]. Additional Resources: The APA proficiency is "Sport Psychology."</t>
  </si>
  <si>
    <t>103TF0000X</t>
  </si>
  <si>
    <t>Family</t>
  </si>
  <si>
    <t>Family Psychologist</t>
  </si>
  <si>
    <t>Source: American Psychological Association, www.apa.org [1/1/2019: new definition]&lt;br/&gt;&lt;br/&gt;Additional Resources: The APA specialty is "Couple and Family Psychology."</t>
  </si>
  <si>
    <t>103TF0200X</t>
  </si>
  <si>
    <t>Forensic</t>
  </si>
  <si>
    <t>Forensic Psychologist</t>
  </si>
  <si>
    <t>103TP2701X</t>
  </si>
  <si>
    <t>Group Psychotherapy</t>
  </si>
  <si>
    <t>Group Psychotherapy Psychologist</t>
  </si>
  <si>
    <t>Source: American Psychological Association, www.apa.org [1/1/2007: modified title, 1/1/2019: new definition]&lt;br/&gt;&lt;br/&gt;Additional Resources: The APA specialty is "Group Psychology and Group Psychotherapy."</t>
  </si>
  <si>
    <t>103TH0004X</t>
  </si>
  <si>
    <t>Health</t>
  </si>
  <si>
    <t>Health Psychologist</t>
  </si>
  <si>
    <t>Source: American Psychological Association, www.apa.org [1/1/2007: new, 7/1/2008: definition added, source added, 1/1/2019: definition modified, source modified] Additional Resources: The APA specialty is "Clinical Health Psychology."</t>
  </si>
  <si>
    <t>103TH0100X</t>
  </si>
  <si>
    <t>Health Service</t>
  </si>
  <si>
    <t>Health Service Psychologist</t>
  </si>
  <si>
    <t>Source: National Register of Health Service Providers in Psychology website http://www.nationalregister.org/about_NR.html [7/1/2006: modified title, added definition]</t>
  </si>
  <si>
    <t>103TM1800X</t>
  </si>
  <si>
    <t>Intellectual &amp; Developmental Disabilities</t>
  </si>
  <si>
    <t>Intellectual &amp; Developmental Disabilities Psychologist</t>
  </si>
  <si>
    <t>1:400,000-450,000</t>
  </si>
  <si>
    <t>[1/1/2021: modified title]</t>
  </si>
  <si>
    <t>103TM1700X</t>
  </si>
  <si>
    <t>Men &amp; Masculinity</t>
  </si>
  <si>
    <t>Deactivated - Psychologist Men &amp; Masculinity</t>
  </si>
  <si>
    <t>1:200,000-210,000</t>
  </si>
  <si>
    <t>103TP0016X</t>
  </si>
  <si>
    <t>Prescribing (Medical)</t>
  </si>
  <si>
    <t>Prescribing (Medical) Psychologist</t>
  </si>
  <si>
    <t>1:666,000</t>
  </si>
  <si>
    <t>Source: American Psychological Association, www.apa.org [1/1/2007: new, 1/1/2019: definition modified, source modified]</t>
  </si>
  <si>
    <t>103TP0814X</t>
  </si>
  <si>
    <t>Psychoanalysis</t>
  </si>
  <si>
    <t>Psychoanalysis Psychologist</t>
  </si>
  <si>
    <t>Source: American Psychological Association, www.apa.org [1/1/2019, definition modified, source modified]</t>
  </si>
  <si>
    <t>103TP2700X</t>
  </si>
  <si>
    <t>Psychotherapy</t>
  </si>
  <si>
    <t>Deactivated - Psychologist Psychotherapy</t>
  </si>
  <si>
    <t>1:4,100</t>
  </si>
  <si>
    <t>103TR0400X</t>
  </si>
  <si>
    <t>Rehabilitation</t>
  </si>
  <si>
    <t>Rehabilitation Psychologist</t>
  </si>
  <si>
    <t>1:155,000</t>
  </si>
  <si>
    <t>Source: American Psychological Association, www.apa.org [1/1/2019: definition added]</t>
  </si>
  <si>
    <t>103TS0200X</t>
  </si>
  <si>
    <t>School Psychologist</t>
  </si>
  <si>
    <t>1:13,200</t>
  </si>
  <si>
    <t>1:3,500-4,000</t>
  </si>
  <si>
    <t>103TW0100X</t>
  </si>
  <si>
    <t>Women</t>
  </si>
  <si>
    <t>Deactivated - Psychotherapy Women</t>
  </si>
  <si>
    <t>1:100,000-105,000</t>
  </si>
  <si>
    <t>103T00000X</t>
  </si>
  <si>
    <t>1:3,120</t>
  </si>
  <si>
    <t>1:2,129</t>
  </si>
  <si>
    <t>1:1,425</t>
  </si>
  <si>
    <t>1:8,252</t>
  </si>
  <si>
    <t>1:4,054</t>
  </si>
  <si>
    <t>Source: American Psychological Association [1/1/2007: modified definition]</t>
  </si>
  <si>
    <t>103T00000X - AST</t>
  </si>
  <si>
    <t>Psychological Assistants</t>
  </si>
  <si>
    <t>Psychological Assistant</t>
  </si>
  <si>
    <t>1:66,000</t>
  </si>
  <si>
    <t>1:35,064</t>
  </si>
  <si>
    <t>1:21,429</t>
  </si>
  <si>
    <t>1:131,755</t>
  </si>
  <si>
    <t>1041C0700X - C</t>
  </si>
  <si>
    <t>Social Worker</t>
  </si>
  <si>
    <t>Licensed Clinical Social Worker</t>
  </si>
  <si>
    <t>Clinical Social Worker</t>
  </si>
  <si>
    <t>1:1,650</t>
  </si>
  <si>
    <t>1:896</t>
  </si>
  <si>
    <t>1:814</t>
  </si>
  <si>
    <t>1:940</t>
  </si>
  <si>
    <t>1:1,010</t>
  </si>
  <si>
    <t>Source: National Association of Social Workers, 2008 [7/1/2009: definition modified]</t>
  </si>
  <si>
    <t>1041S0200X</t>
  </si>
  <si>
    <t>School Social Worker</t>
  </si>
  <si>
    <t>1:33,000</t>
  </si>
  <si>
    <t>104100000X - B</t>
  </si>
  <si>
    <t>Licensed Bachelors Social Worker</t>
  </si>
  <si>
    <t>1:3,910</t>
  </si>
  <si>
    <t>1:4,286</t>
  </si>
  <si>
    <t>1:2,751</t>
  </si>
  <si>
    <t>Source: National Association of Social Workers, 2009 [7/1/2009: definition modified]</t>
  </si>
  <si>
    <t>104100000X - M</t>
  </si>
  <si>
    <t>Licensed Masters Social Worker</t>
  </si>
  <si>
    <t>1:1,274</t>
  </si>
  <si>
    <t>1:1,117</t>
  </si>
  <si>
    <t>1:968</t>
  </si>
  <si>
    <t>1:2,353</t>
  </si>
  <si>
    <t>104100000X - TH</t>
  </si>
  <si>
    <t>Social Work Examiners Interstate Telehealth Registration</t>
  </si>
  <si>
    <t>104100000X - MIL-R</t>
  </si>
  <si>
    <t>Military Social Worker</t>
  </si>
  <si>
    <t>Social Work Examiners Military Registration</t>
  </si>
  <si>
    <t>104100000X</t>
  </si>
  <si>
    <t>1:1,100</t>
  </si>
  <si>
    <t>1:464</t>
  </si>
  <si>
    <t>1:424</t>
  </si>
  <si>
    <t>1:406</t>
  </si>
  <si>
    <t>1:602</t>
  </si>
  <si>
    <t>111NI0013X</t>
  </si>
  <si>
    <t>Chiropractic Providers</t>
  </si>
  <si>
    <t>Chiropractor</t>
  </si>
  <si>
    <t>Independent Medical Examiner Chiropractor</t>
  </si>
  <si>
    <t>Source: American Board of Independent Medical Examiners [1/1/2007: new]</t>
  </si>
  <si>
    <t>111NI0900X</t>
  </si>
  <si>
    <t>Internist</t>
  </si>
  <si>
    <t>Internist Chiropractor</t>
  </si>
  <si>
    <t>Source: American Chiropractic Association, 2008 [7/1/2009: definition added]</t>
  </si>
  <si>
    <t>111NN0400X</t>
  </si>
  <si>
    <t>Neurology Chiropractor</t>
  </si>
  <si>
    <t>Source: American Chiropractic Neurology Board, 2008 &amp; American Chiropractic Association, 2008 [7/1/2009: definition added]</t>
  </si>
  <si>
    <t>111NN1001X</t>
  </si>
  <si>
    <t>Nutrition</t>
  </si>
  <si>
    <t>Nutrition Chiropractor</t>
  </si>
  <si>
    <t>111NX0100X</t>
  </si>
  <si>
    <t>Occupational Health</t>
  </si>
  <si>
    <t>Occupational Health Chiropractor</t>
  </si>
  <si>
    <t>Source: American Chiropractic Association, 2008 [7/1/2009: title modified, definition added]</t>
  </si>
  <si>
    <t>111NX0800X</t>
  </si>
  <si>
    <t>Orthopedic</t>
  </si>
  <si>
    <t>Orthopedic Chiropractor</t>
  </si>
  <si>
    <t>111NP0017X</t>
  </si>
  <si>
    <t>Pediatric Chiropractor</t>
  </si>
  <si>
    <t>1:20,000-50,000</t>
  </si>
  <si>
    <t>Source: Council on Chiropractic Pediatrics, American Chiropractic Association, 2007 [1/1/2008: new]</t>
  </si>
  <si>
    <t>111NR0200X</t>
  </si>
  <si>
    <t>Radiology Chiropractor</t>
  </si>
  <si>
    <t>Source: American Chiropractic Board of Radiology, 2009 [7/1/2009: definition added]</t>
  </si>
  <si>
    <t>111NR0400X</t>
  </si>
  <si>
    <t>Rehabilitation Chiropractor</t>
  </si>
  <si>
    <t>Source: The American Chiropractic Association (ACA) and the ACA Council on Physiological Therapeutics [7/1/2006: new]</t>
  </si>
  <si>
    <t>111NS0005X</t>
  </si>
  <si>
    <t>Sports Physician</t>
  </si>
  <si>
    <t>Sports Physician Chiropractor</t>
  </si>
  <si>
    <t>Source: American Chiropractic Board of Sports Physicians, 2009 [7/1/2009: definition added]</t>
  </si>
  <si>
    <t>111NT0100X</t>
  </si>
  <si>
    <t>Thermography</t>
  </si>
  <si>
    <t>Thermography Chiropractor</t>
  </si>
  <si>
    <t>111N00000X - MIL-R</t>
  </si>
  <si>
    <t>Chirpractor Military Registration</t>
  </si>
  <si>
    <t>111N00000X - TH</t>
  </si>
  <si>
    <t>Chiropractor Interstate Telehealth Registration</t>
  </si>
  <si>
    <t>111N00000X</t>
  </si>
  <si>
    <t>1:3,197</t>
  </si>
  <si>
    <t>1:2,982</t>
  </si>
  <si>
    <t>1:3,111</t>
  </si>
  <si>
    <t>1:3,561</t>
  </si>
  <si>
    <t>125K00000X</t>
  </si>
  <si>
    <t>Dental Providers</t>
  </si>
  <si>
    <t>Advanced Practice Dental Therapist</t>
  </si>
  <si>
    <t>Source: Summarized from Minnesota Statute 150A.106. [7/1/2012: new]</t>
  </si>
  <si>
    <t>126800000X</t>
  </si>
  <si>
    <t>Dental Assistant</t>
  </si>
  <si>
    <t>1:954</t>
  </si>
  <si>
    <t>Source: Comprehensive Policy Statement on Dental Auxiliaries, American Dental Association</t>
  </si>
  <si>
    <t>124Q00000X</t>
  </si>
  <si>
    <t>Dental Hygienist</t>
  </si>
  <si>
    <t>1:1,278</t>
  </si>
  <si>
    <t>1:1,146</t>
  </si>
  <si>
    <t>1:1,471</t>
  </si>
  <si>
    <t>1:1,394</t>
  </si>
  <si>
    <t>Source: Comprehensive Policy Statement on Dental Auxiliaries, American Dental Association.</t>
  </si>
  <si>
    <t>126900000X</t>
  </si>
  <si>
    <t>Dental Laboratory Technician</t>
  </si>
  <si>
    <t>1:6,100</t>
  </si>
  <si>
    <t>125J00000X</t>
  </si>
  <si>
    <t>Dental Therapist</t>
  </si>
  <si>
    <t>1:1,670,000</t>
  </si>
  <si>
    <t>Source: Summarized from Minnesota Statute 150A.105. [7/1/2012: new]</t>
  </si>
  <si>
    <t>1223D0004X</t>
  </si>
  <si>
    <t>Dentist</t>
  </si>
  <si>
    <t>Dental Anesthesiology</t>
  </si>
  <si>
    <t>Source: The American Society of Dentist Anesthesiologists [1/1/2013: new]</t>
  </si>
  <si>
    <t>1223D0001X</t>
  </si>
  <si>
    <t>Dental Public Health</t>
  </si>
  <si>
    <t>Public Health Dentistry</t>
  </si>
  <si>
    <t>Source: Council on Dental Education and Licensure, American Dental Association</t>
  </si>
  <si>
    <t>1223E0200X</t>
  </si>
  <si>
    <t>Endodontics</t>
  </si>
  <si>
    <t>1223G0001X</t>
  </si>
  <si>
    <t>General Practice Dentistry</t>
  </si>
  <si>
    <t>Source: Academy of General Dentistry</t>
  </si>
  <si>
    <t>1223P0106X</t>
  </si>
  <si>
    <t>Oral and Maxillofacial Pathology</t>
  </si>
  <si>
    <t>Oral and Maxillofacial Pathology Dentistry</t>
  </si>
  <si>
    <t>1223X0008X</t>
  </si>
  <si>
    <t>Oral and Maxillofacial Radiology</t>
  </si>
  <si>
    <t>Oral and Maxillofacial Radiology Dentistry</t>
  </si>
  <si>
    <t>1223S0112X</t>
  </si>
  <si>
    <t>Oral and Maxillofacial Surgery</t>
  </si>
  <si>
    <t>Oral and Maxillofacial Surgery (Dentist)</t>
  </si>
  <si>
    <t>125Q00000X</t>
  </si>
  <si>
    <t>Oral Medicine</t>
  </si>
  <si>
    <t>Oral Medicine Dentistry</t>
  </si>
  <si>
    <t>Source: National Commission on Recognition of Dental Specialties and Certifying Boards [1/1/2015: new, 7/1/2024: modified] www.ncrdscb.ada.org/recognized-dental-specialties and American Association of Oral and Maxillofacial Surgeons, www.aaoms.org</t>
  </si>
  <si>
    <t>1223X2210X</t>
  </si>
  <si>
    <t>Orofacial Pain</t>
  </si>
  <si>
    <t>Orofacial Pain Dentistry</t>
  </si>
  <si>
    <t>Source: American Academy of Orofacial Pain, http://www.aaop.org [7/1/2019: new] Additional Resources: American Board of Orofacial Pain, http://www.abop.net</t>
  </si>
  <si>
    <t>1223X0400X</t>
  </si>
  <si>
    <t>Orthodontics and Dentofacial Orthopedics</t>
  </si>
  <si>
    <t>Orthodontics and Dentofacial Orthopedics Dentistry</t>
  </si>
  <si>
    <t>1223P0221X</t>
  </si>
  <si>
    <t>Pediatric Dentistry</t>
  </si>
  <si>
    <t>1223P0300X</t>
  </si>
  <si>
    <t>Periodontics</t>
  </si>
  <si>
    <t>1223P0700X</t>
  </si>
  <si>
    <t>Prosthodontics</t>
  </si>
  <si>
    <t>122300000X</t>
  </si>
  <si>
    <t>1:1,000-1,300</t>
  </si>
  <si>
    <t>1:1,589</t>
  </si>
  <si>
    <t>1:1,221</t>
  </si>
  <si>
    <t>1:2,315</t>
  </si>
  <si>
    <t>1:2,486</t>
  </si>
  <si>
    <t>122300000X - RES</t>
  </si>
  <si>
    <t>Dentist Limited Resident</t>
  </si>
  <si>
    <t>122300000X - DA</t>
  </si>
  <si>
    <t>Dentist Academic</t>
  </si>
  <si>
    <t>1:52,596</t>
  </si>
  <si>
    <t>1:30,452</t>
  </si>
  <si>
    <t>122300000X - RP1</t>
  </si>
  <si>
    <t>Permit</t>
  </si>
  <si>
    <t>Dentist Restricted Permit 1</t>
  </si>
  <si>
    <t>122300000X - RP2</t>
  </si>
  <si>
    <t>Dentist Restricted Permit 2</t>
  </si>
  <si>
    <t>122300000X - URP</t>
  </si>
  <si>
    <t>Unrestricted Permit</t>
  </si>
  <si>
    <t>122300000X - MIL-P</t>
  </si>
  <si>
    <t>Dentist Military Provisional</t>
  </si>
  <si>
    <t>122300000X - MIL-R</t>
  </si>
  <si>
    <t>Dentist Military Registeration</t>
  </si>
  <si>
    <t>122300000X - CH</t>
  </si>
  <si>
    <t>Dentist -  Community Health</t>
  </si>
  <si>
    <t>122300000X - TH</t>
  </si>
  <si>
    <t>Dentist Interstate Telehealth Registration</t>
  </si>
  <si>
    <t>1:1,670</t>
  </si>
  <si>
    <t>1:1,542</t>
  </si>
  <si>
    <t>1:1,174</t>
  </si>
  <si>
    <t>1:2,462</t>
  </si>
  <si>
    <t>122400000X</t>
  </si>
  <si>
    <t>Denturist</t>
  </si>
  <si>
    <t>Source: National Denturist Association, https://nationaldenturist.com/ [1/1/2024: modified definition]</t>
  </si>
  <si>
    <t>132700000X</t>
  </si>
  <si>
    <t>Dietary &amp; Nutritional Service Providers</t>
  </si>
  <si>
    <t>Dietary Manager</t>
  </si>
  <si>
    <t>136A00000X</t>
  </si>
  <si>
    <t>Dietetic Technician, Registered</t>
  </si>
  <si>
    <t>Registered Dietetic Technician</t>
  </si>
  <si>
    <t>Source: Academy of Nutrition and Dietetics Definition of Terms List, Current Version, https://www.eatrightpro.org/practice/quality-management/scope-of-practice [7/1/2019:modified definition]</t>
  </si>
  <si>
    <t>133VN1101X</t>
  </si>
  <si>
    <t>Dietitian, Registered</t>
  </si>
  <si>
    <t>Nutrition, Gerontological</t>
  </si>
  <si>
    <t>Gerontological Nutrition Registered Dietitian</t>
  </si>
  <si>
    <t>Source: The Commission on Dietetic Registration, https://www.cdrnet.org/certifications/specialty-practice-experience [7/1/2019: new]</t>
  </si>
  <si>
    <t>133VN1006X</t>
  </si>
  <si>
    <t>Nutrition, Metabolic</t>
  </si>
  <si>
    <t>Metabolic Nutrition Registered Dietitian</t>
  </si>
  <si>
    <t>Source: The Commission on Dietetic Registration [4/1/2002: new, 7/1/2024:modified] https://www.cdrnet.org/board-certified-specialist. At this time, the Commission on Dietetic Registration no longer offers certifications in Metabolic Nutrition.</t>
  </si>
  <si>
    <t>133VN1201X</t>
  </si>
  <si>
    <t>Nutrition, Obesity and Weight Management</t>
  </si>
  <si>
    <t>Obesity and Weight Management Nutrition Registered Dietitian</t>
  </si>
  <si>
    <t>133VN1301X</t>
  </si>
  <si>
    <t>Nutrition, Oncology</t>
  </si>
  <si>
    <t>Oncology Nutrition Registered Dietitian</t>
  </si>
  <si>
    <t>133VN1004X</t>
  </si>
  <si>
    <t>Nutrition, Pediatric</t>
  </si>
  <si>
    <t>Pediatric Nutrition Registered Dietitian</t>
  </si>
  <si>
    <t>Source: The Commission on Dietetic Registration, https://www.cdrnet.org/certifications/specialty-practice-experience [7/1/2019: definition added, source added]</t>
  </si>
  <si>
    <t>133VN1401X</t>
  </si>
  <si>
    <t>Nutrition, Pediatric Critical Care</t>
  </si>
  <si>
    <t>Pediatric Critical Care Nutrition Registered Dietitian</t>
  </si>
  <si>
    <t>133VN1005X</t>
  </si>
  <si>
    <t>Nutrition, Renal</t>
  </si>
  <si>
    <t>Renal Nutrition Registered Dietitian</t>
  </si>
  <si>
    <t>133VN1501X</t>
  </si>
  <si>
    <t>Nutrition, Sports Dietetics</t>
  </si>
  <si>
    <t>Sports Dietetics Nutrition Registered Dietitian</t>
  </si>
  <si>
    <t>133V00000X - MIL-R</t>
  </si>
  <si>
    <t>Dietitian/Nutritionist Military Registration</t>
  </si>
  <si>
    <t>133V00000X - TH</t>
  </si>
  <si>
    <t>133V00000X</t>
  </si>
  <si>
    <t>Dietitian/Nutritonist</t>
  </si>
  <si>
    <t>Registered Dietitian</t>
  </si>
  <si>
    <t>1:3,308</t>
  </si>
  <si>
    <t>1:4,126</t>
  </si>
  <si>
    <t>1:3,933</t>
  </si>
  <si>
    <t>Source: Academy of Nutrition and Dietetics Definition of Terms List , Current Version, https://www.eatrightpro.org/practice/quality-management/scope-of-practice [7/1/2019:modified definition]</t>
  </si>
  <si>
    <t>133NN1002X</t>
  </si>
  <si>
    <t>Nutritionist</t>
  </si>
  <si>
    <t>Nutrition, Education</t>
  </si>
  <si>
    <t>Nutrition Education Nutritionist</t>
  </si>
  <si>
    <t>133N00000X</t>
  </si>
  <si>
    <t>"'</t>
  </si>
  <si>
    <t>Source: (1) Rhea, Ott, and Shafritz, The Facts On File Dictionary of Health Care Management, New York: Facts On File Publications, 1988.</t>
  </si>
  <si>
    <t>146N00000X</t>
  </si>
  <si>
    <t>Emergency Medical Service Providers</t>
  </si>
  <si>
    <t>Emergency Medical Technician, Basic</t>
  </si>
  <si>
    <t>EMT-B</t>
  </si>
  <si>
    <t>Basic Emergency Medical Technician</t>
  </si>
  <si>
    <t>1:1,300</t>
  </si>
  <si>
    <t>Sources: Tabers Medical Dictionary and Florida EMS Clearing House.</t>
  </si>
  <si>
    <t>146M00000X</t>
  </si>
  <si>
    <t>Emergency Medical Technician, Intermediate</t>
  </si>
  <si>
    <t>EMT-A</t>
  </si>
  <si>
    <t>Intermediate Emergency Medical Technician</t>
  </si>
  <si>
    <t>1:5,600</t>
  </si>
  <si>
    <t>146L00000X</t>
  </si>
  <si>
    <t>Paramedic</t>
  </si>
  <si>
    <t>1:2,711</t>
  </si>
  <si>
    <t>1:3,485</t>
  </si>
  <si>
    <t>1:2,287</t>
  </si>
  <si>
    <t>1:1,896</t>
  </si>
  <si>
    <t>146D00000X</t>
  </si>
  <si>
    <t>Personal Emergency Response Attendant</t>
  </si>
  <si>
    <t>152WC0802X</t>
  </si>
  <si>
    <t>Eye and Vision Services Providers</t>
  </si>
  <si>
    <t>Optometrist</t>
  </si>
  <si>
    <t>Corneal and Contact Management</t>
  </si>
  <si>
    <t>Corneal and Contact Management Optometrist</t>
  </si>
  <si>
    <t>1:28,000-41,000</t>
  </si>
  <si>
    <t>Source: American Optometric Association [1/1/2009: added definition, added source]</t>
  </si>
  <si>
    <t>152WL0500X</t>
  </si>
  <si>
    <t>Low Vision Rehabilitation</t>
  </si>
  <si>
    <t>Low Vision Rehabilitation Optometrist</t>
  </si>
  <si>
    <t>152WX0102X</t>
  </si>
  <si>
    <t>Occupational Vision</t>
  </si>
  <si>
    <t>Occupational Vision Optometrist</t>
  </si>
  <si>
    <t>1:165,000-825,000</t>
  </si>
  <si>
    <t>152WP0200X</t>
  </si>
  <si>
    <t>Pediatric Optometrist</t>
  </si>
  <si>
    <t>152WS0006X</t>
  </si>
  <si>
    <t>Sports Vision</t>
  </si>
  <si>
    <t>Sports Vision Optometrist</t>
  </si>
  <si>
    <t>1:82,500</t>
  </si>
  <si>
    <t>152WV0400X</t>
  </si>
  <si>
    <t>Vision Therapy</t>
  </si>
  <si>
    <t>Vision Therapy Optometrist</t>
  </si>
  <si>
    <t>152W00000X - DIAG</t>
  </si>
  <si>
    <t>Diagnostic Optometrist</t>
  </si>
  <si>
    <t>152W00000X - TH</t>
  </si>
  <si>
    <t>Telehealth Optometrist</t>
  </si>
  <si>
    <t>Optometry Interstate Telehealth Registration</t>
  </si>
  <si>
    <t>152W00000X - THER</t>
  </si>
  <si>
    <t>Therapeutic Optometrist</t>
  </si>
  <si>
    <t>1:6,152</t>
  </si>
  <si>
    <t>1:5,510</t>
  </si>
  <si>
    <t>1:6,778</t>
  </si>
  <si>
    <t>152W00000X - INT</t>
  </si>
  <si>
    <t>Therapeutic Optometrist Internship</t>
  </si>
  <si>
    <t>152W00000X - MIL-R</t>
  </si>
  <si>
    <t>Military Therapeutic Optometry</t>
  </si>
  <si>
    <t>Therapeutic Optometrist Military Registration</t>
  </si>
  <si>
    <t>152W00000X</t>
  </si>
  <si>
    <t>1:8,100</t>
  </si>
  <si>
    <t>1:5,000-6,000</t>
  </si>
  <si>
    <t>Source: American Optometric Association (AOA), approved by the AOA's Board of Trustees, June 21, 2005. [7/1/2006: definition modified]</t>
  </si>
  <si>
    <t>156FC0800X</t>
  </si>
  <si>
    <t>Technician/Technologist</t>
  </si>
  <si>
    <t>Contact Lens</t>
  </si>
  <si>
    <t>Contact Lens Technician/Technologist</t>
  </si>
  <si>
    <t>156FC0801X</t>
  </si>
  <si>
    <t>Contact Lens Fitter</t>
  </si>
  <si>
    <t>156FX1700X</t>
  </si>
  <si>
    <t>Ocularist</t>
  </si>
  <si>
    <t>1:1,100,000-1,700,000</t>
  </si>
  <si>
    <t>Source: American Society of Ocularists, www.ocularist.org [7/1/2023: definition added]</t>
  </si>
  <si>
    <t>156FX1100X</t>
  </si>
  <si>
    <t>Ophthalmic</t>
  </si>
  <si>
    <t>Ophthalmic Technician/Technologist</t>
  </si>
  <si>
    <t>1:8,300-11,000</t>
  </si>
  <si>
    <t>Source: Bureau of Labor Statistics, https://www.bls.gov/oes/current/oes292057.htm [1/1/2024: modified definition]</t>
  </si>
  <si>
    <t>156FX1101X</t>
  </si>
  <si>
    <t>Ophthalmic Assistant</t>
  </si>
  <si>
    <t>1:13,400-16,700</t>
  </si>
  <si>
    <t>Source: National Uniform Claim Committee [1/1/2024: modified definition]</t>
  </si>
  <si>
    <t>156FX1800X</t>
  </si>
  <si>
    <t>Optician</t>
  </si>
  <si>
    <t>1:6,700-7,400</t>
  </si>
  <si>
    <t>Source: U.S. Bureau of Labor Statistics, www.bls.gov. [7/1/2023: definition added]</t>
  </si>
  <si>
    <t>156FX1201X</t>
  </si>
  <si>
    <t>Optometric Assistant</t>
  </si>
  <si>
    <t>Optometric Assistant Technician</t>
  </si>
  <si>
    <t>156FX1202X</t>
  </si>
  <si>
    <t>Optometric Technician</t>
  </si>
  <si>
    <t>156FX1900X</t>
  </si>
  <si>
    <t>Orthoptist</t>
  </si>
  <si>
    <t>Source: American Association of Certified Orthoptists, www.orthoptics.org [7/1/2023: definition added]</t>
  </si>
  <si>
    <t>156F00000X</t>
  </si>
  <si>
    <t>164W00000X</t>
  </si>
  <si>
    <t>Nursing Service Providers</t>
  </si>
  <si>
    <t>Licensed Practical Nurse</t>
  </si>
  <si>
    <t>1:450-600</t>
  </si>
  <si>
    <t>1:200-300</t>
  </si>
  <si>
    <t>3042</t>
  </si>
  <si>
    <t>1:346</t>
  </si>
  <si>
    <t>1713</t>
  </si>
  <si>
    <t>1:338</t>
  </si>
  <si>
    <t>725</t>
  </si>
  <si>
    <t>1:261</t>
  </si>
  <si>
    <t>604</t>
  </si>
  <si>
    <t>1:436</t>
  </si>
  <si>
    <t>Source: Rhea, Ott, and Shafritz, The Facts On File Dictionary of Health Care Management, New York: Facts On File Publications, 1988.</t>
  </si>
  <si>
    <t>164W00000X - TEMP</t>
  </si>
  <si>
    <t>Temporary Permit - LPN</t>
  </si>
  <si>
    <t>167G00000X</t>
  </si>
  <si>
    <t>Licensed Psychiatric Technician</t>
  </si>
  <si>
    <t>1:4,560</t>
  </si>
  <si>
    <t>1:10-20</t>
  </si>
  <si>
    <t>164X00000X</t>
  </si>
  <si>
    <t>Licensed Vocational Nurse</t>
  </si>
  <si>
    <t>163W00000X - TPGN</t>
  </si>
  <si>
    <t>Registered Nurse</t>
  </si>
  <si>
    <t>Temporary Permit - Graduate Nurse</t>
  </si>
  <si>
    <t>163W00000X - TPGPN</t>
  </si>
  <si>
    <t>Temporary Permit - General Practice Nurse</t>
  </si>
  <si>
    <t>163W00000X - TPRN</t>
  </si>
  <si>
    <t>Temporary Permit - Registered Nurse</t>
  </si>
  <si>
    <t>163WA0400X</t>
  </si>
  <si>
    <t>Addiction (Substance Use Disorder) Registered Nurse</t>
  </si>
  <si>
    <t>1:1,100-1650</t>
  </si>
  <si>
    <t>163WA2000X</t>
  </si>
  <si>
    <t>Administrator</t>
  </si>
  <si>
    <t>Administrator Registered Nurse</t>
  </si>
  <si>
    <t>1:832</t>
  </si>
  <si>
    <t>163WP2201X</t>
  </si>
  <si>
    <t>Ambulatory Care</t>
  </si>
  <si>
    <t>Ambulatory Care Registered Nurse</t>
  </si>
  <si>
    <t>1:185-222</t>
  </si>
  <si>
    <t>163WC3500X</t>
  </si>
  <si>
    <t>Cardiac Rehabilitation</t>
  </si>
  <si>
    <t>Cardiac Rehabilitation Registered Nurse</t>
  </si>
  <si>
    <t>1:133.200</t>
  </si>
  <si>
    <t>163WC0400X</t>
  </si>
  <si>
    <t>Case Management</t>
  </si>
  <si>
    <t>Case Management Registered Nurse</t>
  </si>
  <si>
    <t>1:555</t>
  </si>
  <si>
    <t>163WC1400X</t>
  </si>
  <si>
    <t>College Health</t>
  </si>
  <si>
    <t>College Health Registered Nurse</t>
  </si>
  <si>
    <t>1:2,667</t>
  </si>
  <si>
    <t>163WC1500X</t>
  </si>
  <si>
    <t>Community Health</t>
  </si>
  <si>
    <t>Community Health Registered Nurse</t>
  </si>
  <si>
    <t>163WC2100X</t>
  </si>
  <si>
    <t>Continence Care</t>
  </si>
  <si>
    <t>Continence Care Registered Nurse</t>
  </si>
  <si>
    <t>1:66,000-110,000</t>
  </si>
  <si>
    <t>163WC1600X</t>
  </si>
  <si>
    <t>Continuing Education/Staff Development</t>
  </si>
  <si>
    <t>Continuing Education/Staff Development Registered Nurse</t>
  </si>
  <si>
    <t>1:5,500-11,000</t>
  </si>
  <si>
    <t>163WC0200X</t>
  </si>
  <si>
    <t>Critical Care Medicine Registered Nurse</t>
  </si>
  <si>
    <t>1:825-923</t>
  </si>
  <si>
    <t>163WD0400X</t>
  </si>
  <si>
    <t>Diabetes Educator</t>
  </si>
  <si>
    <t>Diabetes Educator Registered Nurse</t>
  </si>
  <si>
    <t>1:22,000-33,000</t>
  </si>
  <si>
    <t>163WD1100X</t>
  </si>
  <si>
    <t>Dialysis, Peritoneal</t>
  </si>
  <si>
    <t>Peritoneal Dialysis Registered Nurse</t>
  </si>
  <si>
    <t>1:222,000</t>
  </si>
  <si>
    <t>163WE0003X</t>
  </si>
  <si>
    <t>Emergency</t>
  </si>
  <si>
    <t>Emergency Registered Nurse</t>
  </si>
  <si>
    <t>1:1,960</t>
  </si>
  <si>
    <t>163WE0900X</t>
  </si>
  <si>
    <t>Enterostomal Therapy</t>
  </si>
  <si>
    <t>Enterostomal Therapy Registered Nurse</t>
  </si>
  <si>
    <t>1:110,000-165,000</t>
  </si>
  <si>
    <t>163WF0300X</t>
  </si>
  <si>
    <t>Flight</t>
  </si>
  <si>
    <t>Flight Registered Nurse</t>
  </si>
  <si>
    <t>163WG0100X</t>
  </si>
  <si>
    <t>Gastroenterology Registered Nurse</t>
  </si>
  <si>
    <t>163WG0000X</t>
  </si>
  <si>
    <t>General Practice Registered Nurse</t>
  </si>
  <si>
    <t>1:476-555</t>
  </si>
  <si>
    <t>163WG0600X</t>
  </si>
  <si>
    <t>Gerontology</t>
  </si>
  <si>
    <t>Gerontology Registered Nurse</t>
  </si>
  <si>
    <t>1:4,714-6600</t>
  </si>
  <si>
    <t>163WH0500X</t>
  </si>
  <si>
    <t>Hemodialysis</t>
  </si>
  <si>
    <t>Hemodialysis Registered Nurse</t>
  </si>
  <si>
    <t>163WH0200X</t>
  </si>
  <si>
    <t>Home Health</t>
  </si>
  <si>
    <t>Home Health Registered Nurse</t>
  </si>
  <si>
    <t>1:825-1,100</t>
  </si>
  <si>
    <t>163WH1000X</t>
  </si>
  <si>
    <t>Hospice</t>
  </si>
  <si>
    <t>Hospice Registered Nurse</t>
  </si>
  <si>
    <t>163WI0600X</t>
  </si>
  <si>
    <t>Infection Control</t>
  </si>
  <si>
    <t>Infection Control Registered Nurse</t>
  </si>
  <si>
    <t>163WI0500X</t>
  </si>
  <si>
    <t>Infusion Therapy</t>
  </si>
  <si>
    <t>Infusion Therapy Registered Nurse</t>
  </si>
  <si>
    <t>163WL0100X</t>
  </si>
  <si>
    <t>Lactation Consultant</t>
  </si>
  <si>
    <t>Lactation Consultant (Registered Nurse)</t>
  </si>
  <si>
    <t>1:82,500-165,000</t>
  </si>
  <si>
    <t>163WM0102X</t>
  </si>
  <si>
    <t>Maternal Newborn</t>
  </si>
  <si>
    <t>Maternal Newborn Registered Nurse</t>
  </si>
  <si>
    <t>1:1,650-2,200</t>
  </si>
  <si>
    <t>163WM0705X</t>
  </si>
  <si>
    <t>Medical-Surgical</t>
  </si>
  <si>
    <t>Medical-Surgical Registered Nurse</t>
  </si>
  <si>
    <t>1:132</t>
  </si>
  <si>
    <t>163WN0002X</t>
  </si>
  <si>
    <t>Neonatal Intensive Care</t>
  </si>
  <si>
    <t>Neonatal Intensive Care Registered Nurse</t>
  </si>
  <si>
    <t>1:16,500-22,000</t>
  </si>
  <si>
    <t>163WN0003X</t>
  </si>
  <si>
    <t>Neonatal, Low-Risk</t>
  </si>
  <si>
    <t>Low-Risk Neonatal Registered Nurse</t>
  </si>
  <si>
    <t>163WN0300X</t>
  </si>
  <si>
    <t>Nephrology Registered Nurse</t>
  </si>
  <si>
    <t>163WN0800X</t>
  </si>
  <si>
    <t>Neuroscience</t>
  </si>
  <si>
    <t>Neuroscience Registered Nurse</t>
  </si>
  <si>
    <t>1:82,500-110,000</t>
  </si>
  <si>
    <t>163WM1400X</t>
  </si>
  <si>
    <t>Nurse Massage Therapist (NMT)</t>
  </si>
  <si>
    <t>163WN1003X</t>
  </si>
  <si>
    <t>Nutrition Support</t>
  </si>
  <si>
    <t>Nutrition Support Registered Nurse</t>
  </si>
  <si>
    <t>163WX0002X</t>
  </si>
  <si>
    <t>Obstetric, High-Risk</t>
  </si>
  <si>
    <t>High-Risk Obstetric Registered Nurse</t>
  </si>
  <si>
    <t>1:471-550</t>
  </si>
  <si>
    <t>163WX0003X</t>
  </si>
  <si>
    <t>Obstetric, Inpatient</t>
  </si>
  <si>
    <t>Inpatient Obstetric Registered Nurse</t>
  </si>
  <si>
    <t>163WX0106X</t>
  </si>
  <si>
    <t>Occupational Health Registered Nurse</t>
  </si>
  <si>
    <t>163WX0200X</t>
  </si>
  <si>
    <t>Oncology</t>
  </si>
  <si>
    <t>Oncology Registered Nurse</t>
  </si>
  <si>
    <t>163WX1100X</t>
  </si>
  <si>
    <t>Ophthalmic Registered Nurse</t>
  </si>
  <si>
    <t>1:1,000,000-5,000,000</t>
  </si>
  <si>
    <t>163WX0800X</t>
  </si>
  <si>
    <t>Orthopedic Registered Nurse</t>
  </si>
  <si>
    <t>163WX1500X</t>
  </si>
  <si>
    <t>Ostomy Care</t>
  </si>
  <si>
    <t>Ostomy Care Registered Nurse</t>
  </si>
  <si>
    <t>163WX0601X</t>
  </si>
  <si>
    <t>Otorhinolaryngology &amp; Head-Neck</t>
  </si>
  <si>
    <t>Otorhinolaryngology &amp; Head-Neck Registered Nurse</t>
  </si>
  <si>
    <t>163WP0000X</t>
  </si>
  <si>
    <t>Pain Management</t>
  </si>
  <si>
    <t>Pain Management Registered Nurse</t>
  </si>
  <si>
    <t>163WP0218X</t>
  </si>
  <si>
    <t>Pediatric Oncology</t>
  </si>
  <si>
    <t>Pediatric Oncology Registered Nurse</t>
  </si>
  <si>
    <t>1:10,714-15,000</t>
  </si>
  <si>
    <t>163WP0200X</t>
  </si>
  <si>
    <t>Pediatric Registered Nurse</t>
  </si>
  <si>
    <t>1:3,000-3,750</t>
  </si>
  <si>
    <t>1:3,000-5,000</t>
  </si>
  <si>
    <t>163WP1700X</t>
  </si>
  <si>
    <t>Perinatal</t>
  </si>
  <si>
    <t>Perinatal Registered Nurse</t>
  </si>
  <si>
    <t>1:300,000-600,000</t>
  </si>
  <si>
    <t>163WS0121X</t>
  </si>
  <si>
    <t>Plastic Surgery Registered Nurse</t>
  </si>
  <si>
    <t>163WP0808X</t>
  </si>
  <si>
    <t>Psychiatric/Mental Health</t>
  </si>
  <si>
    <t>Psychiatric/Mental Health Registered Nurse</t>
  </si>
  <si>
    <t>163WP0809X</t>
  </si>
  <si>
    <t>Psychiatric/Mental Health, Adult</t>
  </si>
  <si>
    <t>Adult Psychiatric/Mental Health Registered Nurse</t>
  </si>
  <si>
    <t>163WP0807X</t>
  </si>
  <si>
    <t>Psychiatric/Mental Health, Child &amp; Adolescent</t>
  </si>
  <si>
    <t>Child &amp; Adolescent Psychiatric/Mental Health Registered Nurse</t>
  </si>
  <si>
    <t>1:200,000-500,000</t>
  </si>
  <si>
    <t>163WR0006X</t>
  </si>
  <si>
    <t>Registered Nurse First Assistant</t>
  </si>
  <si>
    <t>Source: AORN Official Statement on RNFAs ratified by the AORN House of Delegates in 2004. [7/1/2006: new]</t>
  </si>
  <si>
    <t>163WR0400X</t>
  </si>
  <si>
    <t>Rehabilitation Registered Nurse</t>
  </si>
  <si>
    <t>1:11,000-16,500</t>
  </si>
  <si>
    <t>163WR1000X</t>
  </si>
  <si>
    <t>Reproductive Endocrinology/Infertility</t>
  </si>
  <si>
    <t>Reproductive Endocrinology/Infertility Registered Nurse</t>
  </si>
  <si>
    <t>1:165,000-330,000</t>
  </si>
  <si>
    <t>163WS0200X</t>
  </si>
  <si>
    <t>School Registered Nurse</t>
  </si>
  <si>
    <t>1:2,142</t>
  </si>
  <si>
    <t>1:1,000-1,500</t>
  </si>
  <si>
    <t>163WU0100X</t>
  </si>
  <si>
    <t>Urology Registered Nurse</t>
  </si>
  <si>
    <t>1:100,000</t>
  </si>
  <si>
    <t>163WW0101X</t>
  </si>
  <si>
    <t>Women's Health Care, Ambulatory</t>
  </si>
  <si>
    <t>Ambulatory Women's Health Care Registered Nurse</t>
  </si>
  <si>
    <t>1:11,000-12,000</t>
  </si>
  <si>
    <t>163WW0000X</t>
  </si>
  <si>
    <t>Wound Care</t>
  </si>
  <si>
    <t>Wound Care Registered Nurse</t>
  </si>
  <si>
    <t>1:50,000-55,000</t>
  </si>
  <si>
    <t>163W00000X</t>
  </si>
  <si>
    <t>1:107</t>
  </si>
  <si>
    <t>17013</t>
  </si>
  <si>
    <t>1:62</t>
  </si>
  <si>
    <t>9594</t>
  </si>
  <si>
    <t>1:60</t>
  </si>
  <si>
    <t>3004</t>
  </si>
  <si>
    <t>1:63</t>
  </si>
  <si>
    <t>4415</t>
  </si>
  <si>
    <t>Sources: (2) American Nurses Association, American Nurses Credentialing Center, 1996 Certification Catalogue, and Rhea, Ott, and Shafritz, The Facts On File Dictionary of Health Care Management, New York: Facts On File Publications, 1988.</t>
  </si>
  <si>
    <t>372600000X</t>
  </si>
  <si>
    <t>Nursing Service Related Providers</t>
  </si>
  <si>
    <t>Adult Companion</t>
  </si>
  <si>
    <t>1:74</t>
  </si>
  <si>
    <t>[7/1/2003: new]</t>
  </si>
  <si>
    <t>372500000X</t>
  </si>
  <si>
    <t>Chore Provider</t>
  </si>
  <si>
    <t>373H00000X</t>
  </si>
  <si>
    <t>Day Training/Habilitation Specialist</t>
  </si>
  <si>
    <t>1:2,200-3,000</t>
  </si>
  <si>
    <t>374J00000X</t>
  </si>
  <si>
    <t>Doula</t>
  </si>
  <si>
    <t>1:17,000-33,000</t>
  </si>
  <si>
    <t>Source: National Uniform Claim Committee, 2009 [7/1/2009: new]</t>
  </si>
  <si>
    <t>374U00000X</t>
  </si>
  <si>
    <t>Home Health Aide</t>
  </si>
  <si>
    <t>Home Health Aidde</t>
  </si>
  <si>
    <t>376J00000X</t>
  </si>
  <si>
    <t>Homemaker</t>
  </si>
  <si>
    <t>[7/1/2003: definition added]</t>
  </si>
  <si>
    <t>376K00000X</t>
  </si>
  <si>
    <t>Nurse's Aide</t>
  </si>
  <si>
    <t>1:5-15</t>
  </si>
  <si>
    <t>1:4-8</t>
  </si>
  <si>
    <t>Source: (1) American Nurses Association, Registered Professional Nurses and Unlicensed Personnel, 2nd ed., 1996; (2) Rhea, Ott, and Shafritz, The Facts On File Dictionary of Health Care Management, New York: Facts On File Publications, 1988.</t>
  </si>
  <si>
    <t>376G00000X - TRN</t>
  </si>
  <si>
    <t>Nursing Home Administrator</t>
  </si>
  <si>
    <t>Administrator in Training</t>
  </si>
  <si>
    <t>376G00000X - MIL-R</t>
  </si>
  <si>
    <t>Military Nursing Home Administrator</t>
  </si>
  <si>
    <t xml:space="preserve">Nursing Home Administrator Military Registration </t>
  </si>
  <si>
    <t>376G00000X - TEMP</t>
  </si>
  <si>
    <t>Temporary Nursing Home Administrator</t>
  </si>
  <si>
    <t>376G00000X</t>
  </si>
  <si>
    <t>1:7,678</t>
  </si>
  <si>
    <t>1:6,971</t>
  </si>
  <si>
    <t>1:6,588</t>
  </si>
  <si>
    <t>1:10,000-50,000</t>
  </si>
  <si>
    <t>1:7,622</t>
  </si>
  <si>
    <t>1:6,427</t>
  </si>
  <si>
    <t>Source: Lexikon: Dictionary of Health Care Terms, Organizations, and Acronyms for the Era of Reform, Joint Commission on Accreditation of Healthcare Organizations, Oakbrook Terrace, IL, 1994, p. 552.</t>
  </si>
  <si>
    <t>374T00000X</t>
  </si>
  <si>
    <t>Religious Nonmedical Nursing Personnel</t>
  </si>
  <si>
    <t>Source: Centers for Medicare &amp; Medicaid Services [7/1/2009: title modified, definition modified] Additional Resources: www.cms.hhs.gov/CertificationandComplianc/19_RNHCIs.asp 2005 Code of Federal Regulations, Title 42, Chapter IV, Part 403, Subpart G, 403.702 Definitions and Terms</t>
  </si>
  <si>
    <t>374K00000X</t>
  </si>
  <si>
    <t>Religious Nonmedical Practitioner</t>
  </si>
  <si>
    <t>Source: National Uniform Claim Committee , 2009 [7/1/2009: new]</t>
  </si>
  <si>
    <t>3747A0650X</t>
  </si>
  <si>
    <t>Technician</t>
  </si>
  <si>
    <t>Attendant Care Provider</t>
  </si>
  <si>
    <t>1:1,000-5,000</t>
  </si>
  <si>
    <t>3747P1801X</t>
  </si>
  <si>
    <t>Personal Care Attendant</t>
  </si>
  <si>
    <t>1:73</t>
  </si>
  <si>
    <t>374700000X</t>
  </si>
  <si>
    <t>Sources: (1) Rhea, Ott, and Shafritz, The Facts on File Dictionary of Health Care Management, New York: Facts on File Publications, 1988; Dorland's Illustrated Medical Dictionary, 26th Edition, Philadelphia: W.B. Saunders Company, 1981 and Webster's II New Riverside University Dictionary, Boston: Riverside Publishing Company, 1984. (2) ) Lexikon: Dictionary of Health Care Terms, Organizations and Acronyms for the Era of Reform, The Joint Commission on Accreditation of Healthcare Organizations, Oakbrook Terrace, Illinois: 1994, p. 776.</t>
  </si>
  <si>
    <t>171100000X - DETOX</t>
  </si>
  <si>
    <t>Other Service Providers</t>
  </si>
  <si>
    <t>Acupuncture Practitioner</t>
  </si>
  <si>
    <t>Acupuncture Detoxification Specialist</t>
  </si>
  <si>
    <t>171100000X</t>
  </si>
  <si>
    <t>1:87,659</t>
  </si>
  <si>
    <t>1:16,500</t>
  </si>
  <si>
    <t>171M00000X</t>
  </si>
  <si>
    <t>Case Manager/Care Coordinator</t>
  </si>
  <si>
    <t>1:550</t>
  </si>
  <si>
    <t>Source: CMS State Medicaid Manual Section 4442.3 [7/1/2006: new]</t>
  </si>
  <si>
    <t>176B00000X</t>
  </si>
  <si>
    <t>Certified Professional Midwife</t>
  </si>
  <si>
    <t>Source: The National Uniform Claim Committee [7/1/2007: title changed, definition changed, source changed]</t>
  </si>
  <si>
    <t>174V00000X</t>
  </si>
  <si>
    <t>Clinical Ethicist</t>
  </si>
  <si>
    <t>Source: National Uniform Claim Committee [1/1/2011: new]</t>
  </si>
  <si>
    <t>172V00000X</t>
  </si>
  <si>
    <t>Community Health Worker</t>
  </si>
  <si>
    <t>CHW</t>
  </si>
  <si>
    <t>1:2,200</t>
  </si>
  <si>
    <t>Source: Health Resources and Services Administration, US Department of Health and Human Services - National Workforce Study on Community Health Workers, March, 2007. [7/1/2007: new] http://bhpr.hrsa.gov/healthworkforce/chw/</t>
  </si>
  <si>
    <t>171WH0202X</t>
  </si>
  <si>
    <t>Contractor</t>
  </si>
  <si>
    <t>Home Modifications</t>
  </si>
  <si>
    <t>Home Modifications Contractor</t>
  </si>
  <si>
    <t>1:22,000</t>
  </si>
  <si>
    <t>171WV0202X</t>
  </si>
  <si>
    <t>Vehicle Modifications</t>
  </si>
  <si>
    <t>Vehicle Modifications Contractor</t>
  </si>
  <si>
    <t>171W00000X</t>
  </si>
  <si>
    <t>172A00000X</t>
  </si>
  <si>
    <t>Driver</t>
  </si>
  <si>
    <t>1:15,000</t>
  </si>
  <si>
    <t>176P00000X - MIL</t>
  </si>
  <si>
    <t>Funeral Director</t>
  </si>
  <si>
    <t>Funeral Director Military Registration</t>
  </si>
  <si>
    <t>176P00000X - LTD</t>
  </si>
  <si>
    <t>Funeral Director Limited</t>
  </si>
  <si>
    <t>176P00000X - INT</t>
  </si>
  <si>
    <t>Funeral Resident Intern</t>
  </si>
  <si>
    <t>1:579,592</t>
  </si>
  <si>
    <t>176P00000X</t>
  </si>
  <si>
    <t>1:6,534</t>
  </si>
  <si>
    <t>1:7,819</t>
  </si>
  <si>
    <t>1:4,866</t>
  </si>
  <si>
    <t>1:5,490</t>
  </si>
  <si>
    <t>Source: Joint Commission on Accreditation of Healthcare Organizations, Lexikon: Dictionary of Health Care Terms, Organizations and Acronyms for the Era of Reform, Oakbrook Terrace, IL: 1994, p. 323</t>
  </si>
  <si>
    <t>1:6,493</t>
  </si>
  <si>
    <t>1:7,715</t>
  </si>
  <si>
    <t>170300000X - PROV</t>
  </si>
  <si>
    <t>Genetic Counselor, MS</t>
  </si>
  <si>
    <t>Genetic Counselor Provisional</t>
  </si>
  <si>
    <t>170300000X</t>
  </si>
  <si>
    <t>Genetic Counselor</t>
  </si>
  <si>
    <t>Genetic Counselor (M.S.)</t>
  </si>
  <si>
    <t>1:78,500</t>
  </si>
  <si>
    <t>1:18,664</t>
  </si>
  <si>
    <t>Source: National Society of Genetic Counselors [7/1/2005: new]</t>
  </si>
  <si>
    <t>171400000X</t>
  </si>
  <si>
    <t>Health &amp; Wellness Coach</t>
  </si>
  <si>
    <t>Source: National Board for Health &amp; Wellness Coaching, www.nbhwc.org [1/1/2021: new]</t>
  </si>
  <si>
    <t>174H00000X</t>
  </si>
  <si>
    <t>Health Educator</t>
  </si>
  <si>
    <t>1:3,700</t>
  </si>
  <si>
    <t>175L00000X - EMP</t>
  </si>
  <si>
    <t>Homeopath</t>
  </si>
  <si>
    <t>Eastern Medicine Practitioner</t>
  </si>
  <si>
    <t>1:29,279</t>
  </si>
  <si>
    <t>Source: Dorland's Illustrated Medical Dictionary. 26th edition. Philadelphia: W.B. Saunders Company, 1981.</t>
  </si>
  <si>
    <t>171R00000X</t>
  </si>
  <si>
    <t>Interpreter</t>
  </si>
  <si>
    <t>1:1,000</t>
  </si>
  <si>
    <t>Source: National Medicaid EDI HIPAA NPI Sub Work Group [7/1/2006: new]</t>
  </si>
  <si>
    <t>174N00000X</t>
  </si>
  <si>
    <t>Lactation Consultant, Non-RN</t>
  </si>
  <si>
    <t>Lactation Consultant (Non-RN)</t>
  </si>
  <si>
    <t>173000000X</t>
  </si>
  <si>
    <t>172M00000X</t>
  </si>
  <si>
    <t>Mechanotherapist</t>
  </si>
  <si>
    <t>Source: Summarized from Ohio Revised Code 4731.15 [1/1/2007: new]</t>
  </si>
  <si>
    <t>170100000X - PROV</t>
  </si>
  <si>
    <t>Medical Genetics, Ph.D. Medical Genetics</t>
  </si>
  <si>
    <t>170100000X</t>
  </si>
  <si>
    <t>A general certificate was first issued by ABMS in 1982. ACGME Accredited Residency Program Requirements: None.</t>
  </si>
  <si>
    <t>175M00000X - CM</t>
  </si>
  <si>
    <t>Midwife, Lay</t>
  </si>
  <si>
    <t>Certified Midwife</t>
  </si>
  <si>
    <t>175M00000X</t>
  </si>
  <si>
    <t>Midwife</t>
  </si>
  <si>
    <t>Lay Midwife</t>
  </si>
  <si>
    <t>1710I1002X</t>
  </si>
  <si>
    <t>Military Health Care Provider</t>
  </si>
  <si>
    <t>Independent Duty Corpsman</t>
  </si>
  <si>
    <t>Source: Bureau of Medicine and Surgery, Department of the Navy [7/1/2005: new]</t>
  </si>
  <si>
    <t>1710I1003X</t>
  </si>
  <si>
    <t>Independent Duty Medical Technicians</t>
  </si>
  <si>
    <t>1:165,000</t>
  </si>
  <si>
    <t>Source: Air Force Surgeon General Office [7/1/2005: new]</t>
  </si>
  <si>
    <t>171000000X</t>
  </si>
  <si>
    <t>MULTIPLE ANALOGOUS LICENSE TYPES</t>
  </si>
  <si>
    <t>1:62 (service members)</t>
  </si>
  <si>
    <t>[7/1/2005: new]</t>
  </si>
  <si>
    <t>172P00000X</t>
  </si>
  <si>
    <t>Naprapath</t>
  </si>
  <si>
    <t>Source: National Uniform Claim Committee [1/1/2007: new]</t>
  </si>
  <si>
    <t>175F00000X</t>
  </si>
  <si>
    <t>Naturopath</t>
  </si>
  <si>
    <t>Source: The Federal Dictionary of Occupational Titles, U.S. Department of Labor, Washington, D.C., section #079, 101-014 [7/1/2007: definition changed, source added]</t>
  </si>
  <si>
    <t>175T00000X</t>
  </si>
  <si>
    <t>Peer Specialist</t>
  </si>
  <si>
    <t>Source: National Uniform Claim Committee [7/1/2014: new]</t>
  </si>
  <si>
    <t>405300000X</t>
  </si>
  <si>
    <t>Prevention Professional</t>
  </si>
  <si>
    <t>1:1,900</t>
  </si>
  <si>
    <t>Source: National Uniform Claim Committee, 2015 [1/1/2016: new]</t>
  </si>
  <si>
    <t>173C00000X</t>
  </si>
  <si>
    <t>Reflexologist</t>
  </si>
  <si>
    <t>Source: National Uniform Claim Committee (based on the American Reflexology Certification Board definition of Reflexology), 2007 [1/1/2008: new] Additional Resources: Foot and hand reflexology is a scientific art based on the premise that there are zones and reflex areas in the feet and hands which correspond to all body parts. The physical act of applying specific pressures using thumb, finger and hand techniques result in stress reduction which causes a physiological change in the body. Reflexology is a non-invasive, complementary modality involving thumb and finger techniques to apply alternating pressure to reflexes shown on reflex maps of the body located on the feet, hands, and outer ears. American Reflexology Certification Board, www.arcb.net/definiti.htm; Reflexology Association of America, www.reflexology-usa.org/standards.html</t>
  </si>
  <si>
    <t>173F00000X</t>
  </si>
  <si>
    <t>Sleep Specialist, PhD</t>
  </si>
  <si>
    <t>Polysomnographer</t>
  </si>
  <si>
    <t>Sleep Specialist (PhD)</t>
  </si>
  <si>
    <t>1:132,000</t>
  </si>
  <si>
    <t>1:27,682</t>
  </si>
  <si>
    <t>1:19,951</t>
  </si>
  <si>
    <t>1:52,702</t>
  </si>
  <si>
    <t>Source: National Uniform Claim Committee (based on American Board of Sleep Medicine), 2007 [1/1/2008: new] Additional resources: www.absm.org</t>
  </si>
  <si>
    <t>1744G0900X</t>
  </si>
  <si>
    <t>Specialist</t>
  </si>
  <si>
    <t>Graphics Designer</t>
  </si>
  <si>
    <t>1:440,000</t>
  </si>
  <si>
    <t>1/1/2025: marked inactive</t>
  </si>
  <si>
    <t>1744P3200X</t>
  </si>
  <si>
    <t>Prosthetics Case Management</t>
  </si>
  <si>
    <t>Source National Uniform Claim Committee, www.nucc.org</t>
  </si>
  <si>
    <t>1744R1103X</t>
  </si>
  <si>
    <t>Research Data Abstracter/Coder</t>
  </si>
  <si>
    <t>Research Study Abstracter/Coder</t>
  </si>
  <si>
    <t>1744R1102X</t>
  </si>
  <si>
    <t>Research Study</t>
  </si>
  <si>
    <t>Research Study Specialist</t>
  </si>
  <si>
    <t>174400000X</t>
  </si>
  <si>
    <t>1:733</t>
  </si>
  <si>
    <t>Source: Expanded from Webster's II New Riverside University Dictionary, Boston: Riverside Publishing Company, 1974.</t>
  </si>
  <si>
    <t>174MM1900X</t>
  </si>
  <si>
    <t>Veterinarian</t>
  </si>
  <si>
    <t>Medical Research</t>
  </si>
  <si>
    <t>Medical Research Veterinarian</t>
  </si>
  <si>
    <t>174M00000X - MIL-R</t>
  </si>
  <si>
    <t>Military Veterinarian</t>
  </si>
  <si>
    <t>Veterinary Medicine Military Registration</t>
  </si>
  <si>
    <t>174M00000X - TEMP</t>
  </si>
  <si>
    <t>Temporary Veterinarian</t>
  </si>
  <si>
    <t>174M00000X - TPV</t>
  </si>
  <si>
    <t>Temporary Permit Veterinarian</t>
  </si>
  <si>
    <t>174M00000X</t>
  </si>
  <si>
    <t>1:3,300</t>
  </si>
  <si>
    <t>1:30,000-40,000</t>
  </si>
  <si>
    <t>Source: Dorland's Illustrated Medical Dictionary. 28th edition. Philadelphia: W.B. Saunders Company, 1994, p. 1823</t>
  </si>
  <si>
    <t>1835P2201X</t>
  </si>
  <si>
    <t>Pharmacy Service Providers</t>
  </si>
  <si>
    <t>Pharmacist</t>
  </si>
  <si>
    <t>Ambulatory Care Pharmacist</t>
  </si>
  <si>
    <t>1:8,700</t>
  </si>
  <si>
    <t>Source: Board of Pharmacy Specialties, www.bpsweb.org [7/1/2015: new]</t>
  </si>
  <si>
    <t>1835C0206X</t>
  </si>
  <si>
    <t>Cardiology</t>
  </si>
  <si>
    <t>Cardiology Pharmacist</t>
  </si>
  <si>
    <t>1:35,00</t>
  </si>
  <si>
    <t>Source: Board of Pharmacy Specialties, www.bpsweb.org</t>
  </si>
  <si>
    <t>1835C0207X</t>
  </si>
  <si>
    <t>Compounded Sterile Preparations</t>
  </si>
  <si>
    <t>Compounded Sterile Preparations Pharmacist</t>
  </si>
  <si>
    <t>1835C0205X</t>
  </si>
  <si>
    <t>Critical Care</t>
  </si>
  <si>
    <t>Critical Care Pharmacist</t>
  </si>
  <si>
    <t>Source: Board of Pharmacy Specialties, www.bpsweb.org [1/1/2016: new]</t>
  </si>
  <si>
    <t>1835E0208X</t>
  </si>
  <si>
    <t>Emergency Medicine Pharmacist</t>
  </si>
  <si>
    <t>1:35,000</t>
  </si>
  <si>
    <t>1835G0000X</t>
  </si>
  <si>
    <t>Deactivated - Pharmacist</t>
  </si>
  <si>
    <t>1:1,400</t>
  </si>
  <si>
    <t>[1/1/2006: marked inactive, use value 183500000X]</t>
  </si>
  <si>
    <t>1835G0303X</t>
  </si>
  <si>
    <t>Geriatric</t>
  </si>
  <si>
    <t>Geriatric Pharmacist</t>
  </si>
  <si>
    <t>Source: Commission for Certification in Geriatric Pharmacy (www.ccgp.org) [7/1/2006: new]</t>
  </si>
  <si>
    <t>1835I0206X</t>
  </si>
  <si>
    <t>Infectious Diseases</t>
  </si>
  <si>
    <t>Infectious Diseases Pharmacist</t>
  </si>
  <si>
    <t>1835N0905X</t>
  </si>
  <si>
    <t>Nuclear</t>
  </si>
  <si>
    <t>Nuclear Pharmacist</t>
  </si>
  <si>
    <t>Source: Specialty certification and recertification program administered by Board of Pharmaceutical Specialties, www.bpsweb.org [7/1/2006: modified title, added definition]</t>
  </si>
  <si>
    <t>1835N1003X</t>
  </si>
  <si>
    <t>Nutrition Support Pharmacist</t>
  </si>
  <si>
    <t>Source: Specialty certification and recertification program administered by Board of Pharmaceutical Specialties, www.bpsweb.org [7/1/2006: definition modified]</t>
  </si>
  <si>
    <t>1835X0200X</t>
  </si>
  <si>
    <t>Oncology Pharmacist</t>
  </si>
  <si>
    <t>1:52,000</t>
  </si>
  <si>
    <t>Source: Specialty certification and recertification program administered by Board of Pharmaceutical Specialties, www.bpsweb.org [7/1/2006: new]</t>
  </si>
  <si>
    <t>1835P0200X</t>
  </si>
  <si>
    <t>Pediatric Pharmacist</t>
  </si>
  <si>
    <t>1:70,000</t>
  </si>
  <si>
    <t>1835P0018X</t>
  </si>
  <si>
    <t>Pharmacist Clinician (PhC)/ Clinical Pharmacy Specialist</t>
  </si>
  <si>
    <t>1:5,000-20,000</t>
  </si>
  <si>
    <t>Source: National Uniform Claim Committee, 2007 [1/1/2008: new]</t>
  </si>
  <si>
    <t>1835P1200X</t>
  </si>
  <si>
    <t>Pharmacotherapy</t>
  </si>
  <si>
    <t>Pharmacotherapy Pharmacist</t>
  </si>
  <si>
    <t>Source: Specialty certification and recertification program administered by Board of Pharmaceutical Specialties, www.bpsweb.org [7/1/2006: modified definition]</t>
  </si>
  <si>
    <t>1835P1300X</t>
  </si>
  <si>
    <t>Psychiatric</t>
  </si>
  <si>
    <t>Psychiatric Pharmacist</t>
  </si>
  <si>
    <t>1835S0206X</t>
  </si>
  <si>
    <t>Solid Organ Transplant</t>
  </si>
  <si>
    <t>Solid Organ Transplant Pharmacist</t>
  </si>
  <si>
    <t>183500000X</t>
  </si>
  <si>
    <t>1:1,048</t>
  </si>
  <si>
    <t>1:600-800</t>
  </si>
  <si>
    <t>1:869</t>
  </si>
  <si>
    <t>1:744</t>
  </si>
  <si>
    <t>1:1,103</t>
  </si>
  <si>
    <t>1:1,013</t>
  </si>
  <si>
    <t>Source: Adapted from National Association of Boards of Pharmacy Model State Pharmacy Act, Article 1, Section 104. [1/1/2006: definition modified, source modified]</t>
  </si>
  <si>
    <t>183500000X - INT</t>
  </si>
  <si>
    <t>Pharmacist Intern</t>
  </si>
  <si>
    <t>183500000X - MIL-R</t>
  </si>
  <si>
    <t>Military Pharmacist</t>
  </si>
  <si>
    <t>Pharmacist Military Registration</t>
  </si>
  <si>
    <t>183500000X - TH</t>
  </si>
  <si>
    <t>Telehealth Pharmacist</t>
  </si>
  <si>
    <t>Pharmacy Interstate Telehealth Registration</t>
  </si>
  <si>
    <t>183700000X</t>
  </si>
  <si>
    <t>Pharmacy Technicians</t>
  </si>
  <si>
    <t>1:3,750</t>
  </si>
  <si>
    <t>Source: Pharmacy Technician Certification Board, www.ptcb.org [1/1/2006: modified definition, modified source]</t>
  </si>
  <si>
    <t>163W00000X - APRN</t>
  </si>
  <si>
    <t>Advanced Practice Registered Nurse (NP/CNS)</t>
  </si>
  <si>
    <t>Temporary Permit - APRN</t>
  </si>
  <si>
    <t>367A00000X</t>
  </si>
  <si>
    <t>Physician Assistants &amp; Advanced Practice Nursing Providers</t>
  </si>
  <si>
    <t>Advanced Practice Midwife</t>
  </si>
  <si>
    <t>Advanced Pracice Midwife</t>
  </si>
  <si>
    <t>Certified Nurse Midwife</t>
  </si>
  <si>
    <t>1:18,822</t>
  </si>
  <si>
    <t>Source: American College of Nurse-Midwives, www.midwife.org &lt;br/&gt;Additional Resources: See the American College of Nurse-Midwives, www.midwife.org, for more information on Certified Nurse-Midwives, Certified Midwives, the American Midwifery Certification Board (AMCB), and licensure.</t>
  </si>
  <si>
    <t>367H00000X</t>
  </si>
  <si>
    <t>Anesthesiologist Assistant</t>
  </si>
  <si>
    <t>1:70,000-75,000</t>
  </si>
  <si>
    <t>364SA2100X</t>
  </si>
  <si>
    <t>Clinical Nurse Specialist</t>
  </si>
  <si>
    <t>Acute Care</t>
  </si>
  <si>
    <t>Acute Care CNS</t>
  </si>
  <si>
    <t>Acute Care Clinical Nurse Specialist</t>
  </si>
  <si>
    <t>1:25,000-30,000</t>
  </si>
  <si>
    <t>364SA2200X</t>
  </si>
  <si>
    <t>Adult Health</t>
  </si>
  <si>
    <t>Adult CNS</t>
  </si>
  <si>
    <t>Adult Health Clinical Nurse Specialist</t>
  </si>
  <si>
    <t>1:70,127</t>
  </si>
  <si>
    <t>1:57,859</t>
  </si>
  <si>
    <t>364SC2300X</t>
  </si>
  <si>
    <t>Chronic Care</t>
  </si>
  <si>
    <t>Chronic Care Clinical Nurse Specialist</t>
  </si>
  <si>
    <t>364SC1501X</t>
  </si>
  <si>
    <t>Community Health/Public Health</t>
  </si>
  <si>
    <t>Community Health Nursing CNS</t>
  </si>
  <si>
    <t>Community Health/Public Health Clinical Nurse Specialist</t>
  </si>
  <si>
    <t>1:289,296</t>
  </si>
  <si>
    <t>364SC0200X</t>
  </si>
  <si>
    <t>Critical Care CNS</t>
  </si>
  <si>
    <t>Critical Care Medicine Clinical Nurse Specialist</t>
  </si>
  <si>
    <t>1:110,000-330,000</t>
  </si>
  <si>
    <t>364SE0003X</t>
  </si>
  <si>
    <t>Emergency Care CNS</t>
  </si>
  <si>
    <t>Emergency Clinical Nurse Specialist</t>
  </si>
  <si>
    <t>364SE1400X</t>
  </si>
  <si>
    <t>Ethics</t>
  </si>
  <si>
    <t>Ethics Clinical Nurse Specialist</t>
  </si>
  <si>
    <t>364SF0001X</t>
  </si>
  <si>
    <t>Family Health</t>
  </si>
  <si>
    <t>Rural Family CNS</t>
  </si>
  <si>
    <t>Family Health Clinical Nurse Specialist</t>
  </si>
  <si>
    <t>364SG0600X</t>
  </si>
  <si>
    <t>Adult/Gerontology CNS</t>
  </si>
  <si>
    <t>Gerontology Clinical Nurse Specialist</t>
  </si>
  <si>
    <t>1:37,568</t>
  </si>
  <si>
    <t>364SH1100X</t>
  </si>
  <si>
    <t>Holistic</t>
  </si>
  <si>
    <t>Holistic Clinical Nurse Specialist</t>
  </si>
  <si>
    <t>364SH0200X</t>
  </si>
  <si>
    <t>Health Promotion &amp; Wellness CNS</t>
  </si>
  <si>
    <t>Home Health Clinical Nurse Specialist</t>
  </si>
  <si>
    <t>364SI0800X</t>
  </si>
  <si>
    <t>Informatics</t>
  </si>
  <si>
    <t>Informatics Clinical Nurse Specialist</t>
  </si>
  <si>
    <t>1:33,000-47,142</t>
  </si>
  <si>
    <t>364SL0600X</t>
  </si>
  <si>
    <t>Long-Term Care</t>
  </si>
  <si>
    <t>Long-Term Care Clinical Nurse Specialist</t>
  </si>
  <si>
    <t>364SMC000X</t>
  </si>
  <si>
    <t>Maternal Child</t>
  </si>
  <si>
    <t>Maternal Child CNS</t>
  </si>
  <si>
    <t>364SM0705X</t>
  </si>
  <si>
    <t>Medical-Surgical CNS</t>
  </si>
  <si>
    <t>Medical-Surgical Clinical Nurse Specialist</t>
  </si>
  <si>
    <t>364SN0000X</t>
  </si>
  <si>
    <t>Neonatal</t>
  </si>
  <si>
    <t>Neonatal CNS</t>
  </si>
  <si>
    <t>Neonatal Clinical Nurse Specialist</t>
  </si>
  <si>
    <t>364SN0800X</t>
  </si>
  <si>
    <t>Neuroscience CNS</t>
  </si>
  <si>
    <t>Neuroscience Clinical Nurse Specialist</t>
  </si>
  <si>
    <t>364SX0106X</t>
  </si>
  <si>
    <t>Occupational Health Clinical Nurse Specialist</t>
  </si>
  <si>
    <t>364SX0200X</t>
  </si>
  <si>
    <t>Oncology CNS</t>
  </si>
  <si>
    <t>Oncology Clinical Nurse Specialist</t>
  </si>
  <si>
    <t>364SX0204X</t>
  </si>
  <si>
    <t>Oncology, Pediatrics</t>
  </si>
  <si>
    <t>Pediatric Oncology Clinical Nurse Specialist</t>
  </si>
  <si>
    <t>364SP0200X</t>
  </si>
  <si>
    <t>Pediatric CNS</t>
  </si>
  <si>
    <t>Pediatric Clinical Nurse Specialist</t>
  </si>
  <si>
    <t>364SP1700X</t>
  </si>
  <si>
    <t>Perinatal CNS</t>
  </si>
  <si>
    <t>Perinatal Clinical Nurse Specialist</t>
  </si>
  <si>
    <t>364SP2800X</t>
  </si>
  <si>
    <t>Perioperative</t>
  </si>
  <si>
    <t>Perioperative Clinical Nurse Specialist</t>
  </si>
  <si>
    <t>364SP0808X</t>
  </si>
  <si>
    <t>Psych/Mental Health CNS</t>
  </si>
  <si>
    <t>Psychiatric/Mental Health Clinical Nurse Specialist</t>
  </si>
  <si>
    <t>1:32,144</t>
  </si>
  <si>
    <t>364SP0809X</t>
  </si>
  <si>
    <t>Adult Psychiatric/Mental Health Clinical Nurse Specialist</t>
  </si>
  <si>
    <t>364SP0807X</t>
  </si>
  <si>
    <t>Child &amp; Adolescent Psychiatric/Mental Health Clinical Nurse Specialist</t>
  </si>
  <si>
    <t>364SP0810X</t>
  </si>
  <si>
    <t>Psychiatric/Mental Health, Child &amp; Family</t>
  </si>
  <si>
    <t>Child &amp; Family Psychiatric/Mental Health Clinical Nurse Specialist</t>
  </si>
  <si>
    <t>364SP0811X</t>
  </si>
  <si>
    <t>Psychiatric/Mental Health, Chronically Ill</t>
  </si>
  <si>
    <t>Chronically Ill Psychiatric/Mental Health Clinical Nurse Specialist</t>
  </si>
  <si>
    <t>364SP0812X</t>
  </si>
  <si>
    <t>Psychiatric/Mental Health, Community</t>
  </si>
  <si>
    <t>Community Psychiatric/Mental Health Clinical Nurse Specialist</t>
  </si>
  <si>
    <t>364SP0813X</t>
  </si>
  <si>
    <t>Psychiatric/Mental Health, Geropsychiatric</t>
  </si>
  <si>
    <t>Geropsychiatric Psychiatric/Mental Health Clinical Nurse Specialist</t>
  </si>
  <si>
    <t>364SR0400X</t>
  </si>
  <si>
    <t>Rehabilitation Clinical Nurse Specialist</t>
  </si>
  <si>
    <t>364SPR000X</t>
  </si>
  <si>
    <t>Rehabilitation, Pediatric</t>
  </si>
  <si>
    <t>Pediatric Rehab CNS</t>
  </si>
  <si>
    <t>364SS0200X</t>
  </si>
  <si>
    <t>School Clinical Nurse Specialist</t>
  </si>
  <si>
    <t>364ST0500X</t>
  </si>
  <si>
    <t>Transplantation</t>
  </si>
  <si>
    <t>Transplantation Clinical Nurse Specialist</t>
  </si>
  <si>
    <t>364SW0102X</t>
  </si>
  <si>
    <t>Women's Health</t>
  </si>
  <si>
    <t>Women &amp; Gender Related CNS</t>
  </si>
  <si>
    <t>Women's Health Clinical Nurse Specialist</t>
  </si>
  <si>
    <t>364S00000X</t>
  </si>
  <si>
    <t>Total - NO ANALOGOUS LICENSE TYPE</t>
  </si>
  <si>
    <t>1:13,000</t>
  </si>
  <si>
    <t>1:9,227</t>
  </si>
  <si>
    <t>1:8,635</t>
  </si>
  <si>
    <t>1:11,457</t>
  </si>
  <si>
    <t>Sources: American Nurses Association, American Nurses Credentialing Center, 1996 Certification Catalogue and The Interagency Conference on Nursing Statistics.</t>
  </si>
  <si>
    <t>367500000X</t>
  </si>
  <si>
    <t>Nurse Anesthetist, Certified Registered</t>
  </si>
  <si>
    <t>Certified Registered Nurse Anesthetist</t>
  </si>
  <si>
    <t>1:6,660</t>
  </si>
  <si>
    <t>222</t>
  </si>
  <si>
    <t>1:4,738</t>
  </si>
  <si>
    <t>159</t>
  </si>
  <si>
    <t>1:3,638</t>
  </si>
  <si>
    <t>Sources: (1) Council on Certification of Nurse Anesthetists, Park Ridge, IL, and Rhea, Ott, and Shafritz, The Facts On File Dictionary of Health Care Management, New York: Facts On File Publications, 1988. (2) Lexikon: Dictionary of Health Care Terms, Organizations and Acronyms for the Era of Reform, The Joint Commission on Accreditation of Healthcare Organizations, Oakbrook Terrace, Illinois: 1994, p. 548.</t>
  </si>
  <si>
    <t>363LA2100X</t>
  </si>
  <si>
    <t>Nurse Practitioner</t>
  </si>
  <si>
    <t>Acute Care NP</t>
  </si>
  <si>
    <t>Acute Care Nurse Practitioner</t>
  </si>
  <si>
    <t>1:16,650</t>
  </si>
  <si>
    <t>1:105,192</t>
  </si>
  <si>
    <t>1:96,432</t>
  </si>
  <si>
    <t>363LA2200X</t>
  </si>
  <si>
    <t>Adult NP</t>
  </si>
  <si>
    <t>Adult Health Nurse Practitioner</t>
  </si>
  <si>
    <t>1:1,850</t>
  </si>
  <si>
    <t>70</t>
  </si>
  <si>
    <t>1:15,027</t>
  </si>
  <si>
    <t>1:11,808</t>
  </si>
  <si>
    <t>1:21,959</t>
  </si>
  <si>
    <t>363LAG000X</t>
  </si>
  <si>
    <t>Adult/Gerontology</t>
  </si>
  <si>
    <t>Adult/Geronotology NP</t>
  </si>
  <si>
    <t>321</t>
  </si>
  <si>
    <t>1:3,277</t>
  </si>
  <si>
    <t>1:4,217</t>
  </si>
  <si>
    <t>71</t>
  </si>
  <si>
    <t>1:3,711</t>
  </si>
  <si>
    <t>363LC1500X</t>
  </si>
  <si>
    <t>Community Health Nurse Practitioner</t>
  </si>
  <si>
    <t>1:5,125</t>
  </si>
  <si>
    <t>363LC0200X</t>
  </si>
  <si>
    <t>Critical Care NP</t>
  </si>
  <si>
    <t>Critical Care Medicine Nurse Practitioner</t>
  </si>
  <si>
    <t>1:13,320</t>
  </si>
  <si>
    <t>363LF0000X</t>
  </si>
  <si>
    <t>Family NP</t>
  </si>
  <si>
    <t>Family Nurse Practitioner</t>
  </si>
  <si>
    <t>1:1,665</t>
  </si>
  <si>
    <t>1342</t>
  </si>
  <si>
    <t>1:784</t>
  </si>
  <si>
    <t>762</t>
  </si>
  <si>
    <t>1:759</t>
  </si>
  <si>
    <t>195</t>
  </si>
  <si>
    <t>1:973</t>
  </si>
  <si>
    <t>385</t>
  </si>
  <si>
    <t>1:684</t>
  </si>
  <si>
    <t>363LFP000X</t>
  </si>
  <si>
    <t>Family Planning</t>
  </si>
  <si>
    <t>Family Planning NP</t>
  </si>
  <si>
    <t>363LG0600X</t>
  </si>
  <si>
    <t>Gerontology NP</t>
  </si>
  <si>
    <t>Gerontology Nurse Practitioner</t>
  </si>
  <si>
    <t>65,877</t>
  </si>
  <si>
    <t>363LN0000X</t>
  </si>
  <si>
    <t>Neonatal NP</t>
  </si>
  <si>
    <t>Neonatal Nurse Practitioner</t>
  </si>
  <si>
    <t>1:39,200</t>
  </si>
  <si>
    <t>363LN0005X</t>
  </si>
  <si>
    <t>Neonatal, Critical Care</t>
  </si>
  <si>
    <t>Critical Care Neonatal Nurse Practitioner</t>
  </si>
  <si>
    <t>1:166,500</t>
  </si>
  <si>
    <t>363LX0001X</t>
  </si>
  <si>
    <t>Obstetrics &amp; Gynecology Nurse Practitioner</t>
  </si>
  <si>
    <t>1:8,300</t>
  </si>
  <si>
    <t>1:2,000-4,000</t>
  </si>
  <si>
    <t>363LO0000X</t>
  </si>
  <si>
    <t>Oncology NP</t>
  </si>
  <si>
    <t>363LX0106X</t>
  </si>
  <si>
    <t>Occupational Health Nurse Practitioner</t>
  </si>
  <si>
    <t>1:111,000</t>
  </si>
  <si>
    <t>363LP0200X</t>
  </si>
  <si>
    <t>Pediatric NP</t>
  </si>
  <si>
    <t>Pediatric Nurse Practitioner</t>
  </si>
  <si>
    <t>1':4,757</t>
  </si>
  <si>
    <t>136</t>
  </si>
  <si>
    <t>1:7,734</t>
  </si>
  <si>
    <t>113</t>
  </si>
  <si>
    <t>1:5,120</t>
  </si>
  <si>
    <t>363LP0222X</t>
  </si>
  <si>
    <t>Pediatrics, Critical Care</t>
  </si>
  <si>
    <t>Critical Care Pediatric Nurse Practitioner</t>
  </si>
  <si>
    <t>1:37,500-75,000</t>
  </si>
  <si>
    <t>363LP1700X</t>
  </si>
  <si>
    <t>Perinatal NP</t>
  </si>
  <si>
    <t>Perinatal Nurse Practitioner</t>
  </si>
  <si>
    <t>1:133,200</t>
  </si>
  <si>
    <t>363LP2300X</t>
  </si>
  <si>
    <t>Primary Care</t>
  </si>
  <si>
    <t>Primary Care Nurse Practitioner</t>
  </si>
  <si>
    <t>1:5,586</t>
  </si>
  <si>
    <t>363LP0808X</t>
  </si>
  <si>
    <t>Psych/Mental Health NP</t>
  </si>
  <si>
    <t>Psychiatric/Mental Health Nurse Practitioner</t>
  </si>
  <si>
    <t>368</t>
  </si>
  <si>
    <t>1:2,858</t>
  </si>
  <si>
    <t>232</t>
  </si>
  <si>
    <t>1:2,493</t>
  </si>
  <si>
    <t>80</t>
  </si>
  <si>
    <t>1:2,372</t>
  </si>
  <si>
    <t>363LS0200X</t>
  </si>
  <si>
    <t>School Nurse Practitioner</t>
  </si>
  <si>
    <t>1:75,000</t>
  </si>
  <si>
    <t>363LW0102X</t>
  </si>
  <si>
    <t>Women &amp; Gender Related NP</t>
  </si>
  <si>
    <t>Women's Health Nurse Practitioner</t>
  </si>
  <si>
    <t>1:2,538-3,300</t>
  </si>
  <si>
    <t>63</t>
  </si>
  <si>
    <t>1:16,697</t>
  </si>
  <si>
    <t>1:13,149</t>
  </si>
  <si>
    <t>363L00000X</t>
  </si>
  <si>
    <t>1:1,024</t>
  </si>
  <si>
    <t>1:446</t>
  </si>
  <si>
    <t>1:400</t>
  </si>
  <si>
    <t>1:544</t>
  </si>
  <si>
    <t>1:469</t>
  </si>
  <si>
    <t>Source: (1) American Nurses' Association, American Nurses Credentialing Center, 1996 Certification Catalogue. (2) ) Lexikon: Dictionary of Health Care Terms, Organizations and Acronyms for the Era of Reform, The Joint Commission on Accreditation of Healthcare Organizations, Oakbrook Terrace, Illinois: 1994, p. 549.</t>
  </si>
  <si>
    <t>363L00000X - MIL-P</t>
  </si>
  <si>
    <t>Military APRN (NP/CNS)</t>
  </si>
  <si>
    <t>Nursing Military Provisional</t>
  </si>
  <si>
    <t>363L00000X - MIL-R</t>
  </si>
  <si>
    <t>Nursing Military Registration</t>
  </si>
  <si>
    <t>363L00000X - TH</t>
  </si>
  <si>
    <t>Telehealth APRN (NP/CNS)</t>
  </si>
  <si>
    <t>Nursing Interstate Telehealth Registration</t>
  </si>
  <si>
    <t>363AM0700X</t>
  </si>
  <si>
    <t>Physician Assistant</t>
  </si>
  <si>
    <t>Medical</t>
  </si>
  <si>
    <t>Medical Physician Assistant</t>
  </si>
  <si>
    <t>1:4,300</t>
  </si>
  <si>
    <t>363AS0400X</t>
  </si>
  <si>
    <t>Surgical</t>
  </si>
  <si>
    <t>Surgical Physician Assistant</t>
  </si>
  <si>
    <t>1:23,800</t>
  </si>
  <si>
    <t>363A00000X</t>
  </si>
  <si>
    <t>1:2,400</t>
  </si>
  <si>
    <t>1:1,125</t>
  </si>
  <si>
    <t>1:886</t>
  </si>
  <si>
    <t>1:1,636</t>
  </si>
  <si>
    <t>1:1,587</t>
  </si>
  <si>
    <t>Physician Assistant - Telehealth</t>
  </si>
  <si>
    <t>211D00000X</t>
  </si>
  <si>
    <t>Podiatric Medicine &amp; Surgery Service Providers</t>
  </si>
  <si>
    <t>Assistant, Podiatric</t>
  </si>
  <si>
    <t>Podiatric Assistant</t>
  </si>
  <si>
    <t>1:666,000-1,110,000</t>
  </si>
  <si>
    <t>Source: (1) Lexikon: Dictionary of Health Care Terms, Organizations and Acronyms for the Era of Reform, The Joint Commission on Accreditation of Healthcare Organizations, Oakbrook Terrace, Illinois: 1994, p. 622.</t>
  </si>
  <si>
    <t>213E00000X - TRN</t>
  </si>
  <si>
    <t>Podiatrist</t>
  </si>
  <si>
    <t>Podiatrist in Training</t>
  </si>
  <si>
    <t>213E00000X - MIL-R</t>
  </si>
  <si>
    <t>Military Podiatrist</t>
  </si>
  <si>
    <t>Podiatrist Military Registration</t>
  </si>
  <si>
    <t>213E00000X - TH</t>
  </si>
  <si>
    <t>Podiatrist Interstate Telehealth Registration</t>
  </si>
  <si>
    <t>213E00000X - TEMP</t>
  </si>
  <si>
    <t>Temporary Podiatrist</t>
  </si>
  <si>
    <t>213ES0103X</t>
  </si>
  <si>
    <t>Foot &amp; Ankle Surgery</t>
  </si>
  <si>
    <t>Foot &amp; Ankle Surgery Podiatrist</t>
  </si>
  <si>
    <t>213ES0131X</t>
  </si>
  <si>
    <t>Foot Surgery</t>
  </si>
  <si>
    <t>Foot Surgery Podiatrist</t>
  </si>
  <si>
    <t>213EG0000X</t>
  </si>
  <si>
    <t>Deactivated - Podiatrist</t>
  </si>
  <si>
    <t>[7/1/2006: marked inactive, use value 213E00000X]</t>
  </si>
  <si>
    <t>213EP1101X</t>
  </si>
  <si>
    <t>Primary Podiatric Medicine</t>
  </si>
  <si>
    <t>Primary Podiatric Medicine Podiatrist</t>
  </si>
  <si>
    <t>213EP0504X</t>
  </si>
  <si>
    <t>Public Medicine</t>
  </si>
  <si>
    <t>Public Medicine Podiatrist</t>
  </si>
  <si>
    <t>1:333,000</t>
  </si>
  <si>
    <t>213ER0200X</t>
  </si>
  <si>
    <t>Radiology Podiatrist</t>
  </si>
  <si>
    <t>213ES0000X</t>
  </si>
  <si>
    <t>Sports Medicine Podiatrist</t>
  </si>
  <si>
    <t>213E00000X</t>
  </si>
  <si>
    <t>1:9,740</t>
  </si>
  <si>
    <t>1:8,149</t>
  </si>
  <si>
    <t>1:10,979</t>
  </si>
  <si>
    <t>229N00000X</t>
  </si>
  <si>
    <t>Respiratory, Developmental, Rehabilitative and Restorative Service Providers</t>
  </si>
  <si>
    <t>Anaplastologist</t>
  </si>
  <si>
    <t>1:1,660,000</t>
  </si>
  <si>
    <t>Source: American Anaplastology Association, www.anaplastology.org. [7/1/2006: new]</t>
  </si>
  <si>
    <t>224Y00000X</t>
  </si>
  <si>
    <t>Clinical Exercise Physiologist</t>
  </si>
  <si>
    <t>Source: What is a Clinical Exercise Physiologist? Clinical Exercise Physiology Association (CEPA), CEPA Executive Board, 2008 [10/1/2011: new]</t>
  </si>
  <si>
    <t>225600000X</t>
  </si>
  <si>
    <t>Dance Therapist</t>
  </si>
  <si>
    <t>1:167,000-222,000</t>
  </si>
  <si>
    <t>Source: Joel A. DeLisa and Bruce M. Gans, Rehabilitation Medicine: Principles and Practice Second Edition, J.B. Lippincott Company, Philadelphia: 1993, p. 11</t>
  </si>
  <si>
    <t>222Q00000X</t>
  </si>
  <si>
    <t>Developmental Therapist</t>
  </si>
  <si>
    <t>1:1,110</t>
  </si>
  <si>
    <t>Source: The Illinois Developmental Therapists Association [1/1/2007: new]</t>
  </si>
  <si>
    <t>226300000X</t>
  </si>
  <si>
    <t>Kinesiotherapist</t>
  </si>
  <si>
    <t>1:167,000-333,000</t>
  </si>
  <si>
    <t>Source: The Kinesiotherapy Association.</t>
  </si>
  <si>
    <t>225700000X - CMT</t>
  </si>
  <si>
    <t>Massage Therapist</t>
  </si>
  <si>
    <t>Certified Massage Technician</t>
  </si>
  <si>
    <t>DOES NOT EXIST AS A TAXONOMY - LICENSE TYPE FROM DHF DASHBOARD ONLY</t>
  </si>
  <si>
    <t>1:3,640</t>
  </si>
  <si>
    <t>1:3,269</t>
  </si>
  <si>
    <t>1:3,451</t>
  </si>
  <si>
    <t>1:4,623</t>
  </si>
  <si>
    <t>225700000X - LMT</t>
  </si>
  <si>
    <t>Licensed Massage Therapist</t>
  </si>
  <si>
    <t>1:1,750</t>
  </si>
  <si>
    <t>1:1,738</t>
  </si>
  <si>
    <t>1:1,417</t>
  </si>
  <si>
    <t>225700000X - MIL-R</t>
  </si>
  <si>
    <t>Massage Bodywork Military Registration</t>
  </si>
  <si>
    <t>225700000X</t>
  </si>
  <si>
    <t>1:3,330</t>
  </si>
  <si>
    <t>1:1,182</t>
  </si>
  <si>
    <t>1:1,134</t>
  </si>
  <si>
    <t>1:1,385</t>
  </si>
  <si>
    <t>1:1,083</t>
  </si>
  <si>
    <t>224900000X</t>
  </si>
  <si>
    <t>Mastectomy Fitter</t>
  </si>
  <si>
    <t>Source: National Uniform Claim Committee [7/1/2010: new] Additional Resources: American Board for Certification in Orthotics, Prosthetics and Pedorthics, Inc., www.abcop.org and Board of Certification/Accreditation, International, www.bocusa.org.</t>
  </si>
  <si>
    <t>225A00000X</t>
  </si>
  <si>
    <t>Music Therapist</t>
  </si>
  <si>
    <t>1:56,000-67,000</t>
  </si>
  <si>
    <t>Source: American Music Therapy Association</t>
  </si>
  <si>
    <t>225XR0403X</t>
  </si>
  <si>
    <t>Occupational Therapist</t>
  </si>
  <si>
    <t>Driving and Community Mobility</t>
  </si>
  <si>
    <t>Driving and Community Mobility Occupational Therapist</t>
  </si>
  <si>
    <t>1:28,957</t>
  </si>
  <si>
    <t>1:29,000-30,000</t>
  </si>
  <si>
    <t>Source: The Guide to Occupational Therapy Practice, 2nd edition. Bethesda: American Occupational Therapy Association, 2007. [7/1/2008: title changed, definition added, source added] Additional Resources: The American Occupational Therapy Association (AOTA) does offer voluntary specialty certification for a Driving &amp; Community Mobility Occupational Therapist if the applicant meets the following requirements: &lt;ul&gt; &lt;li&gt;Professional or technical degree or equivalent in occupational therapy. &lt;li&gt;Certified or licensed by and in good standing with an AOTA recognized credentialing or regulatory body. &lt;li&gt;Minimum of 2,000 hours of experience as an occupational therapist or occupational therapy assistant. &lt;li&gt;600 hours of experience delivering occupational therapy services in the certification area to clients (individuals, groups, or populations) in the last 3 calendar years. Service delivery may be paid or voluntary. &lt;li&gt;Verification of employment. &lt;/ul&gt; AOTA Fact Sheets: Older Driver</t>
  </si>
  <si>
    <t>225XE0001X</t>
  </si>
  <si>
    <t>Environmental Modification</t>
  </si>
  <si>
    <t>Environmental Modification Occupational Therapist</t>
  </si>
  <si>
    <t>1:4,522-28,956</t>
  </si>
  <si>
    <t>Source: The Guide to Occupational Therapy Practice, 2nd edition. Bethesda: American Occupational Therapy Association, 2007. [7/1/2008: new] Additional Resources: The American Occupational Therapy Association (AOTA) does offer voluntary specialty certification for an Environmental Modification Occupational Therapist if the applicant meets the following requirements: &lt;ul&gt; &lt;li&gt;Professional or technical degree or equivalent in occupational therapy. &lt;li&gt;Certified or licensed by and in good standing with an AOTA recognized credentialing or regulatory body. &lt;li&gt;Minimum of 2,000 hours of experience as an occupational therapist or occupational therapy assistant. &lt;li&gt;600 hours of experience delivering occupational therapy services in the certification area to clients (individuals, groups, or populations) in the last 3 calendar years. Service delivery may be paid or voluntary. &lt;li&gt;Verification of employment. &lt;/ul&gt;AOTA Fact Sheets: Home Modifications</t>
  </si>
  <si>
    <t>225XE1200X</t>
  </si>
  <si>
    <t>Ergonomics</t>
  </si>
  <si>
    <t>Ergonomics Occupational Therapist</t>
  </si>
  <si>
    <t>1:23,000-29,000</t>
  </si>
  <si>
    <t>225XF0002X</t>
  </si>
  <si>
    <t>Feeding, Eating &amp; Swallowing</t>
  </si>
  <si>
    <t>Feeding, Eating &amp; Swallowing Occupational Therapist</t>
  </si>
  <si>
    <t>1:4,500-18,300</t>
  </si>
  <si>
    <t>Source: The Guide to Occupational Therapy Practice, 2nd edition. Bethesda: American Occupational Therapy Association, 2007. [7/1/2008: new] Additional Resources: The American Occupational Therapy Association (AOTA) does offer voluntary specialty certification for a Feeding, Eating &amp; Swallowing Occupational Therapist if the applicant meets the following requirements: &lt;ul&gt; &lt;li&gt;Professional or technical degree or equivalent in occupational therapy. &lt;li&gt;Certified or licensed by and in good standing with an AOTA recognized credentialing or regulatory body. &lt;li&gt;Minimum of 2,000 hours of experience as an occupational therapist or occupational therapy assistant. &lt;li&gt;600 hours of experience delivering occupational therapy services in the certification area to clients (individuals, groups, or populations) in the last 3 calendar years. Service delivery may be paid or voluntary. &lt;li&gt;Verification of employment. &lt;/ul&gt;AOTA Specialized Knowledge and Skills Paper: Feeding, Eating and Swallowing in Occupational Therapy Practice, 2007; AOTA Fact Sheets: OT: A Vital Role in Dysphagia Care</t>
  </si>
  <si>
    <t>225XG0600X</t>
  </si>
  <si>
    <t>Gerontology Occupational Therapist</t>
  </si>
  <si>
    <t>1:20,000-29,000</t>
  </si>
  <si>
    <t>Source: The Guide to Occupational Therapy Practice, 2nd edition. Bethesda: American Occupational Therapy Association, 2007. [7/1/2008: new] Additional Resources: The American Occupational Therapy Association (AOTA) does offer voluntary board certification for a Gerontology Occupational Therapist if the applicant meets the following requirements: &lt;ul&gt; &lt;li&gt;Professional degree or equivalent in occupational therapy. &lt;li&gt;Certified or licensed by and in good standing with an AOTA recognized credentialing or regulatory body. &lt;li&gt;Minimum of 5 years of practice as an occupational therapist. &lt;li&gt;Minimum of 5,000 hours of experience as an occupational therapist in the certification area in the last 7 calendar years. &lt;li&gt;Minimum of 500 hours of experience delivering occupational therapy services in the certification area to clients (individuals, groups, or populations) in the last 5 calendar years. Service delivery may be paid or voluntary. &lt;li&gt;Verification of employment. &lt;/ul&gt;AOTA Fact Sheets: Senior Center and Assisted Living Facilities</t>
  </si>
  <si>
    <t>225XH1200X</t>
  </si>
  <si>
    <t>Hand</t>
  </si>
  <si>
    <t>Hand Occupational Therapist</t>
  </si>
  <si>
    <t>225XH1300X</t>
  </si>
  <si>
    <t>Human Factors</t>
  </si>
  <si>
    <t>Human Factors Occupational Therapist</t>
  </si>
  <si>
    <t>225XL0004X</t>
  </si>
  <si>
    <t>Low Vision</t>
  </si>
  <si>
    <t>Low Vision Occupational Therapist</t>
  </si>
  <si>
    <t>1:58,000-57,800</t>
  </si>
  <si>
    <t>Source: The Guide to Occupational Therapy Practice, 2nd edition. Bethesda: American Occupational Therapy Association, 2007. [7/1/2008: new] Additional Resources: The American Occupational Therapy Association (AOTA) does offer voluntary specialty certification for a Low Vision Occupational Therapist if the applicant meets the following requirements: &lt;ul&gt; &lt;li&gt;Professional or technical degree or equivalent in occupational therapy. &lt;li&gt;Certified or licensed by and in good standing with an AOTA recognized credentialing or regulatory body. &lt;li&gt;Minimum of 2,000 hours of experience as an occupational therapist or occupational therapy assistant. &lt;li&gt;600 hours of experience delivering occupational therapy services in the certification area to clients (individuals, groups, or populations) in the last 3 calendar years. Service delivery may be paid or voluntary. &lt;li&gt;Verification of employment. &lt;/ul&gt;AOTA Fact Sheets: Low Vision; OT Services for Individuals with Visual Impairments</t>
  </si>
  <si>
    <t>225XM0800X</t>
  </si>
  <si>
    <t>Mental Health Occupational Therapist</t>
  </si>
  <si>
    <t>Source: The Guide to Occupational Therapy Practice, 2nd edition. Bethesda: American Occupational Therapy Association, 2007. [7/1/2008: new] Additional Resources: The American Occupational Therapy Association (AOTA) does offer voluntary board certification for a Mental Health Occupational Therapist if the applicant meets the following requirements: &lt;ul&gt; &lt;li&gt;Professional degree or equivalent in occupational therapy. &lt;li&gt;Certified or licensed by and in good standing with an AOTA recognized credentialing or regulatory body. &lt;li&gt;Minimum of 5 years of practice as an occupational therapist. &lt;li&gt;Minimum of 5,000 hours of experience as an occupational therapist in the certification area in the last 7 calendar years. &lt;li&gt;Minimum of 500 hours of experience delivering occupational therapy services in the certification area to clients (individuals, groups, or populations) in the last 5 calendar years. Service delivery may be paid or voluntary. &lt;li&gt;Verification of employment. &lt;/ul&gt;AOTA Fact Sheets: Partial Hospitalization Programs and Consumer</t>
  </si>
  <si>
    <t>225XN1300X</t>
  </si>
  <si>
    <t>Neurorehabilitation</t>
  </si>
  <si>
    <t>Neurorehabilitation Occupational Therapist</t>
  </si>
  <si>
    <t>225XP0200X</t>
  </si>
  <si>
    <t>Pediatric Occupational Therapist</t>
  </si>
  <si>
    <t>1:15,000-29,000</t>
  </si>
  <si>
    <t>Source: The Guide to Occupational Therapy Practice, 2nd edition. Bethesda: American Occupational Therapy Association, 2007. [7/1/2008: new] Additional Resources: The American Occupational Therapy Association (AOTA) does offer voluntary board certification for a Pediatric Occupational Therapist if the applicant meets the following requirements: &lt;ul&gt; &lt;li&gt;Professional degree or equivalent in occupational therapy. &lt;li&gt;Certified or licensed by and in good standing with an AOTA recognized credentialing or regulatory body. &lt;li&gt;Minimum of 5 years of practice as an occupational therapist. &lt;li&gt;Minimum of 5,000 hours of experience as an occupational therapist in the certification area in the last 7 calendar years. &lt;li&gt;Minimum of 500 hours of experience delivering occupational therapy services in the certification area to clients (individuals, groups, or populations) in the last 5 calendar years. Service delivery may be paid or voluntary. &lt;li&gt;Verification of employment. &lt;/ul&gt; AOTA Specialized Knowledge and Skills Paper: Occupational Therapy Practice in the Neonatal Intensive Care Unity (2006); AOTA Fact Sheets: Children and the Tsunami, OT for Children Birth to 3 Years of Age, OT's Role with Autism, OT in Educational Settings Under the Individuals with Disabilities Education Act, Transforming Caseload to Workload in School Based and Early Intervention OT Services, OT in Preschool Settings.</t>
  </si>
  <si>
    <t>225XP0019X</t>
  </si>
  <si>
    <t>Physical Rehabilitation</t>
  </si>
  <si>
    <t>Physical Rehabilitation Occupational Therapist</t>
  </si>
  <si>
    <t>Source: The Guide to Occupational Therapy Practice, 2nd edition. Bethesda: American Occupational Therapy Association, 2007. [7/1/2008: new] Additional Resources: The American Occupational Therapy Association (AOTA) does offer voluntary board certification for a Physical Rehabilitation Occupational Therapist if the applicant meets the following requirements: &lt;ul&gt; &lt;li&gt;Professional degree or equivalent in occupational therapy. &lt;li&gt;Certified or licensed by and in good standing with an AOTA recognized credentialing or regulatory body. &lt;li&gt;Minimum of 5 years of practice as an occupational therapist. &lt;li&gt;Minimum of 5,000 hours of experience as an occupational therapist in the certification area in the last 7 calendar years. &lt;li&gt;Minimum of 500 hours of experience delivering occupational therapy services in the certification area to clients (individuals, groups, or populations) in the last 5 calendar years. Service delivery may be paid or voluntary. &lt;li&gt;Verification of employment. &lt;/ul&gt;AOTA Consumer Tip Sheets: Stroke, Hip</t>
  </si>
  <si>
    <t>225X00000X</t>
  </si>
  <si>
    <t>1:4,200-4,800</t>
  </si>
  <si>
    <t>1:1,920</t>
  </si>
  <si>
    <t>1:1,722</t>
  </si>
  <si>
    <t>1:2,600</t>
  </si>
  <si>
    <t>Source: The Guide to Occupational Therapy Practice, 2nd edition. Bethesda: American Occupational Therapy Association, 2007. [7/1/2008: definition changed, added source]</t>
  </si>
  <si>
    <t>224ZR0403X</t>
  </si>
  <si>
    <t>Occupational Therapy Assistant</t>
  </si>
  <si>
    <t>Driving and Community Mobility Occupational Therapy Assistant</t>
  </si>
  <si>
    <t>1:24,000-48,000</t>
  </si>
  <si>
    <t>Source: The Guide to Occupational Therapy Practice, 2nd edition. Bethesda: American Occupational Therapy Association, 2007. [7/1/2008: new] Additional Resources: The American Occupational Therapy Association (AOTA) does offer voluntary specialty certification for a Driving &amp; Community Mobility Occupational Therapy Assistant if the applicant meets the following requirements: &lt;ul&gt; &lt;li&gt;Professional or technical degree or equivalent in occupational therapy. &lt;li&gt;Certified or licensed by and in good standing with an AOTA recognized credentialing or regulatory body. &lt;li&gt;Minimum of 2,000 hours of experience as an occupational therapist or occupational therapy assistant. &lt;li&gt;600 hours of experience delivering occupational therapy services in the certification area to clients (individuals, groups, or populations) in the last 3 calendar years. Service delivery may be paid or voluntary. &lt;li&gt;Verification of employment. &lt;/ul&gt;AOTA Fact Sheets: Older Driver; AOTA Website: Specialty Certification</t>
  </si>
  <si>
    <t>224ZE0001X</t>
  </si>
  <si>
    <t>Environmental Modification Occupational Therapy Assistant</t>
  </si>
  <si>
    <t>Source: The Guide to Occupational Therapy Practice, 2nd edition. Bethesda: American Occupational Therapy Association, 2007. [7/1/2008: new] Additional Resources: The American Occupational Therapy Association (AOTA) does offer voluntary specialty certification for an Environmental Modification Occupational Therapy Assistant if the applicant meets the following requirements: &lt;ul&gt; &lt;li&gt;Professional or technical degree or equivalent in occupational therapy. &lt;li&gt;Certified or licensed by and in good standing with an AOTA recognized credentialing or regulatory body. &lt;li&gt;Minimum of 2,000 hours of experience as an occupational therapist or occupational therapy assistant. &lt;li&gt;600 hours of experience delivering occupational therapy services in the certification area to clients (individuals, groups, or populations) in the last 3 calendar years. Service delivery may be paid or voluntary. &lt;li&gt;Verification of employment. &lt;/ul&gt;Fact Sheet: Home Modifications and OT, AOTA Website: Specialty Certifications</t>
  </si>
  <si>
    <t>224ZF0002X</t>
  </si>
  <si>
    <t>Feeding, Eating &amp; Swallowing Occupational Therapy Assistant</t>
  </si>
  <si>
    <t>1:32,000-48,000</t>
  </si>
  <si>
    <t>Source: The Guide to Occupational Therapy Practice, 2nd edition. Bethesda: American Occupational Therapy Association, 2007. [7/1/2008: new] Additional Resources: The American Occupational Therapy Association (AOTA) does offer voluntary specialty certification for a Feeding, Eating &amp; Swallowing Occupational Therapy Assistant if the applicant meets the following requirements: &lt;ul&gt; &lt;li&gt;Professional or technical degree or equivalent in occupational therapy. &lt;li&gt;Certified or licensed by and in good standing with an AOTA recognized credentialing or regulatory body. &lt;li&gt;Minimum of 2,000 hours of experience as an occupational therapist or occupational therapy assistant. &lt;li&gt;600 hours of experience delivering occupational therapy services in the certification area to clients (individuals, groups, or populations) in the last 3 calendar years. Service delivery may be paid or voluntary. &lt;li&gt;Verification of employment. &lt;/ul&gt;AOTA Website: Specialty Certifications; AOTA Specialized Knowledge and Skills Paper: Feeding, Eating and Swallowing in Occupational Therapy Practice, 2007; AOTA Fact Sheets: OT: A Vital Role in Dysphagia Care</t>
  </si>
  <si>
    <t>224ZL0004X</t>
  </si>
  <si>
    <t>Low Vision Occupational Therapy Assistant</t>
  </si>
  <si>
    <t>1:48,000-95,000</t>
  </si>
  <si>
    <t>Source: The Guide to Occupational Therapy Practice, 2nd edition. Bethesda: American Occupational Therapy Association, 2007. [7/1/2008: new] Additional Resources: The American Occupational Therapy Association (AOTA) does offer voluntary specialty certification for a Low Vision Occupational Therapy Assistant if the applicant meets the following requirements: &lt;ul&gt; &lt;li&gt;Professional or technical degree or equivalent in occupational therapy. &lt;li&gt;Certified or licensed by and in good standing with an AOTA recognized credentialing or regulatory body. &lt;li&gt;Minimum of 2,000 hours of experience as an occupational therapist or occupational therapy assistant. &lt;li&gt;600 hours of experience delivering occupational therapy services in the certification area to clients (individuals, groups, or populations) in the last 3 calendar years. Service delivery may be paid or voluntary. &lt;li&gt;Verification of employment. &lt;/ul&gt;AOTA Fact Sheets: Low Vision; OT Services for Individuals with Visual Impairments</t>
  </si>
  <si>
    <t>224Z00000X</t>
  </si>
  <si>
    <t>1:2,891</t>
  </si>
  <si>
    <t>1:3,023</t>
  </si>
  <si>
    <t>1:3,594</t>
  </si>
  <si>
    <t>1:3,389</t>
  </si>
  <si>
    <t>1:2,012</t>
  </si>
  <si>
    <t>Source: The Guide to Occupational Therapy Practice, 2nd edition. Bethesda: American Occupational Therapy Association, 2007. [7/1/2008: definition changed, source changed]</t>
  </si>
  <si>
    <t>225000000X</t>
  </si>
  <si>
    <t>Orthotic Fitter</t>
  </si>
  <si>
    <t>1:33,000-67,000</t>
  </si>
  <si>
    <t>Source: National Uniform Claim Committee [1/1/2011: title modified, definition modfied] Additional Resources: American Board for Certification in Orthotics, Prosthetics and Pedorthics, Inc., www.abcop.org and Board of Certification/Accreditation, International, www.bocusa.org.</t>
  </si>
  <si>
    <t>222Z00000X</t>
  </si>
  <si>
    <t>Orthotist</t>
  </si>
  <si>
    <t>1:65,000-222,000</t>
  </si>
  <si>
    <t>Source: American Board for Certification in Orthotics, Prosthetics, and Pedorthics, Inc. [7/1/2010: modified, 7/1/2013: modified] Additional Resources: American Board for Certification in Orthotics, Prosthetics and Pedorthics, Inc., www.abcop.org and Board of Certification/Accreditation, International, www.bocusa.org.</t>
  </si>
  <si>
    <t>224L00000X</t>
  </si>
  <si>
    <t>Pedorthist</t>
  </si>
  <si>
    <t>2251C2600X</t>
  </si>
  <si>
    <t>Physical Therapist</t>
  </si>
  <si>
    <t>Cardiopulmonary</t>
  </si>
  <si>
    <t>Cardiopulmonary Physical Therapist</t>
  </si>
  <si>
    <t>1:92,000</t>
  </si>
  <si>
    <t>Source: American Physical Therapy Association [1/1/2020: definition added] Additional resources: http://www.abpts.org/uploadedFiles/ABPTSorg/Specialist_Certification/DSP/DSP-Cardio.pdf</t>
  </si>
  <si>
    <t>2251E1300X</t>
  </si>
  <si>
    <t>Electrophysiology, Clinical</t>
  </si>
  <si>
    <t>Clinical Electrophysiology Physical Therapist</t>
  </si>
  <si>
    <t>Source: American Physical Therapy Association [1/1/2020: definition added] Additional Resources: https://www.apta.org/apta-and-you/leadership-and-governance/policies/electrophysiologic-examination-evaluation ; http://www.abpts.org/Certification/ClinicalElectrophysiology/</t>
  </si>
  <si>
    <t>2251E1200X</t>
  </si>
  <si>
    <t>Ergonomics Physical Therapist</t>
  </si>
  <si>
    <t>Source: American Physical Therapy Association [1/1/2020: definition added] Additional Resources: www.apta.org</t>
  </si>
  <si>
    <t>2251G0304X</t>
  </si>
  <si>
    <t>Geriatrics</t>
  </si>
  <si>
    <t>Geriatric Physical Therapist</t>
  </si>
  <si>
    <t>1:9,167</t>
  </si>
  <si>
    <t>Source: American Physical Therapy Association [1/1/2020: definition added] Additional resources: www.apta.org</t>
  </si>
  <si>
    <t>2251H1200X</t>
  </si>
  <si>
    <t>Hand Physical Therapist</t>
  </si>
  <si>
    <t>1:27,500</t>
  </si>
  <si>
    <t>2251H1300X</t>
  </si>
  <si>
    <t>Human Factors Physical Therapist</t>
  </si>
  <si>
    <t>2251N0400X</t>
  </si>
  <si>
    <t>Neurology Physical Therapist</t>
  </si>
  <si>
    <t>Source: American Physical Therapy Association [1/1/2020: definition added] Additional resources: http://www.abpts.org/uploadedFiles/ABPTSorg/Specialist_Certification/DSP/DSP-Neurology.pdf</t>
  </si>
  <si>
    <t>2251X0800X</t>
  </si>
  <si>
    <t>Orthopedic Physical Therapist</t>
  </si>
  <si>
    <t>1:13,750</t>
  </si>
  <si>
    <t>Source: American Physical Therapy Association [1/1/2020: definition added] Additional resources: http://www.abpts.org/uploadedFiles/ABPTSorg/Specialist_Certification/DSP/DSP-Orthopaedics.pdf</t>
  </si>
  <si>
    <t>2251P0200X</t>
  </si>
  <si>
    <t>Pediatric Physical Therapist</t>
  </si>
  <si>
    <t>1:46,000</t>
  </si>
  <si>
    <t>Source: American Physical Therapy Association [1/1/2020: definition added] Additional resources: http://www.abpts.org/uploadedFiles/ABPTSorg/Specialist_Certification/DSP/DSP-Pediatrics.pdf</t>
  </si>
  <si>
    <t>2251S0007X</t>
  </si>
  <si>
    <t>Sports</t>
  </si>
  <si>
    <t>Sports Physical Therapist</t>
  </si>
  <si>
    <t>1:18,333</t>
  </si>
  <si>
    <t>Source: American Physical Therapy Association [1/1/2020: definition added] Additional resources: http://www.abpts.org/uploadedFiles/ABPTSorg/Specialist_Certification/DSP/DSP-Sports.pdf</t>
  </si>
  <si>
    <t>225100000X - TEMP</t>
  </si>
  <si>
    <t>Physical Therapist Temporary</t>
  </si>
  <si>
    <t>225100000X - SPA</t>
  </si>
  <si>
    <t>Physical Therapist Special Program Assignment</t>
  </si>
  <si>
    <t>225100000X - MIL-R</t>
  </si>
  <si>
    <t>Military Physical Therapist/Athletic Trainer</t>
  </si>
  <si>
    <t>Physical Therapy/Athletic Training Military Registration</t>
  </si>
  <si>
    <t>225100000X - MIL-P</t>
  </si>
  <si>
    <t>PT/AT-Military Provisional</t>
  </si>
  <si>
    <t>225100000X</t>
  </si>
  <si>
    <t>1:1,375</t>
  </si>
  <si>
    <t>1:895</t>
  </si>
  <si>
    <t>1:799</t>
  </si>
  <si>
    <t>1:842</t>
  </si>
  <si>
    <t>Source: American Physical Therapy Association [1/1/2020: definition modified] Additional resources: https://www.apta.org/PTCareers/RoleofaPT/</t>
  </si>
  <si>
    <t>225200000X</t>
  </si>
  <si>
    <t>Physical Therapy Assistant</t>
  </si>
  <si>
    <t>1:2,104</t>
  </si>
  <si>
    <t>1:2,401</t>
  </si>
  <si>
    <t>1:2,920</t>
  </si>
  <si>
    <t>1:1,358</t>
  </si>
  <si>
    <t>Source: (1) American Physical Therapy Association, P.O. Box 37257, Washington, D.C. 20013. (2) Lexikon: Dictionary of Health Care Terms, Organizations and Acronyms for the Era of Reform, Joint Commission on Accreditation of Healthcare Organizations, Oakbrook Terrace, IL: 1994, p. 612</t>
  </si>
  <si>
    <t>221700000X - AS</t>
  </si>
  <si>
    <t>Professional Art Therapist</t>
  </si>
  <si>
    <t>Associate Art Therapist</t>
  </si>
  <si>
    <t>1:525,959</t>
  </si>
  <si>
    <t>221700000X - PRO</t>
  </si>
  <si>
    <t>1:87,660</t>
  </si>
  <si>
    <t>1:94,895</t>
  </si>
  <si>
    <t>221700000X</t>
  </si>
  <si>
    <t>1:67,000-83,000</t>
  </si>
  <si>
    <t>1:75,137</t>
  </si>
  <si>
    <t>Source: (1) Lexikon: Dictionary of Health Care Terms, Organizations and Acronyms for the Era of Reform, The Joint Commission on Accreditation of Healthcare Organizations, Oakbrook Terrace, Illinois: 1994, p. 107. (2) Art Therapy Program, Marymount College, Tarrytown, NY (3) National Coalition of Arts</t>
  </si>
  <si>
    <t>224P00000X</t>
  </si>
  <si>
    <t>Prosthetist</t>
  </si>
  <si>
    <t>1:33,000-42,000</t>
  </si>
  <si>
    <t>225B00000X</t>
  </si>
  <si>
    <t>Pulmonary Function Technologist</t>
  </si>
  <si>
    <t>225800000X</t>
  </si>
  <si>
    <t>Recreation Therapist</t>
  </si>
  <si>
    <t>Source: Joel A. DeLisa and Bruce M. Gans, Rehabilitation Medicine: Principles and Practice Second Edition, J.B. Lippincott Company, Philadelphia: 1993, p. 7</t>
  </si>
  <si>
    <t>226000000X</t>
  </si>
  <si>
    <t>Recreational Therapist Assistant</t>
  </si>
  <si>
    <t>1:333,000-420,000</t>
  </si>
  <si>
    <t>225CA2400X</t>
  </si>
  <si>
    <t>Rehabilitation Counselor</t>
  </si>
  <si>
    <t>Assistive Technology Practitioner</t>
  </si>
  <si>
    <t>Assistive Technology Practitioner Rehabilitation Counselor</t>
  </si>
  <si>
    <t>1:60,000-133,000</t>
  </si>
  <si>
    <t>225CA2500X</t>
  </si>
  <si>
    <t>Assistive Technology Supplier</t>
  </si>
  <si>
    <t>Assistive Technology Supplier Rehabilitation Counselor</t>
  </si>
  <si>
    <t>225CX0006X</t>
  </si>
  <si>
    <t>Orientation and Mobility Training Provider</t>
  </si>
  <si>
    <t>Orientation and Mobility Training Rehabilitation Counselor</t>
  </si>
  <si>
    <t>1:222,000-278,000</t>
  </si>
  <si>
    <t>Source: San Francisco State University Orientation and Mobility Program web site http://online.sfsu.edu/~mobility/ [7/1/2006: new]</t>
  </si>
  <si>
    <t>225C00000X</t>
  </si>
  <si>
    <t>1:12,000-13,000</t>
  </si>
  <si>
    <t>Sources: Commission on Rehabilitation Counselor Certification and Rhea, Ott, and Shafritz, The Facts On File Dictionary of Health Care Management, New York: Facts On File Publications, 1988.</t>
  </si>
  <si>
    <t>225400000X</t>
  </si>
  <si>
    <t>Rehabilitation Practitioner</t>
  </si>
  <si>
    <t>1:2,700-12,000</t>
  </si>
  <si>
    <t>227800000X</t>
  </si>
  <si>
    <t>Respiratory Practitioner</t>
  </si>
  <si>
    <t>1:2,150-2,380</t>
  </si>
  <si>
    <t>1:1,789</t>
  </si>
  <si>
    <t>1:1,791</t>
  </si>
  <si>
    <t>1:1,956</t>
  </si>
  <si>
    <t>1:1,568</t>
  </si>
  <si>
    <t>2278C0205X</t>
  </si>
  <si>
    <t>Respiratory Therapist, Certified</t>
  </si>
  <si>
    <t>Critical Care Certified Respiratory Therapist</t>
  </si>
  <si>
    <t>1:5,300</t>
  </si>
  <si>
    <t>2278E1000X</t>
  </si>
  <si>
    <t>Educational Certified Respiratory Therapist</t>
  </si>
  <si>
    <t>1:16,000</t>
  </si>
  <si>
    <t>2278E0002X</t>
  </si>
  <si>
    <t>Emergency Care</t>
  </si>
  <si>
    <t>Emergency Care Certified Respiratory Therapist</t>
  </si>
  <si>
    <t>1:6,800</t>
  </si>
  <si>
    <t>2278G1100X</t>
  </si>
  <si>
    <t>General Care</t>
  </si>
  <si>
    <t>General Care Certified Respiratory Therapist</t>
  </si>
  <si>
    <t>1:2,200-2,400</t>
  </si>
  <si>
    <t>2278G0305X</t>
  </si>
  <si>
    <t>Geriatric Care</t>
  </si>
  <si>
    <t>Geriatric Care Certified Respiratory Therapist</t>
  </si>
  <si>
    <t>1:1,500</t>
  </si>
  <si>
    <t>2278H0200X</t>
  </si>
  <si>
    <t>Home Health Certified Respiratory Therapist</t>
  </si>
  <si>
    <t>1:20,000</t>
  </si>
  <si>
    <t>2278P3900X</t>
  </si>
  <si>
    <t>Neonatal/Pediatrics</t>
  </si>
  <si>
    <t>Neonatal/Pediatric Certified Respiratory Therapist</t>
  </si>
  <si>
    <t>1:12,000</t>
  </si>
  <si>
    <t>2278P3800X</t>
  </si>
  <si>
    <t>Palliative/Hospice</t>
  </si>
  <si>
    <t>Palliative/Hospice Certified Respiratory Therapist</t>
  </si>
  <si>
    <t>2278P4000X</t>
  </si>
  <si>
    <t>Patient Transport</t>
  </si>
  <si>
    <t>Patient Transport Certified Respiratory Therapist</t>
  </si>
  <si>
    <t>2278P1004X</t>
  </si>
  <si>
    <t>Pulmonary Diagnostics</t>
  </si>
  <si>
    <t>Pulmonary Diagnostics Certified Respiratory Therapist</t>
  </si>
  <si>
    <t>1:9,500</t>
  </si>
  <si>
    <t>2278P1006X</t>
  </si>
  <si>
    <t>Pulmonary Function Technologist Certified Respiratory Therapist</t>
  </si>
  <si>
    <t>2278P1005X</t>
  </si>
  <si>
    <t>Pulmonary Rehabilitation</t>
  </si>
  <si>
    <t>Pulmonary Rehabilitation Certified Respiratory Therapist</t>
  </si>
  <si>
    <t>2278S1500X</t>
  </si>
  <si>
    <t>SNF/Subacute Care</t>
  </si>
  <si>
    <t>SNF/Subacute Care Certified Respiratory Therapist</t>
  </si>
  <si>
    <t>2278000CRT - CAT</t>
  </si>
  <si>
    <t>2279C0205X</t>
  </si>
  <si>
    <t>Respiratory Therapist, Registered</t>
  </si>
  <si>
    <t>Critical Care Registered Respiratory Therapist</t>
  </si>
  <si>
    <t>2279E1000X</t>
  </si>
  <si>
    <t>Educational Registered Respiratory Therapist</t>
  </si>
  <si>
    <t>2279E0002X</t>
  </si>
  <si>
    <t>Emergency Care Registered Respiratory Therapist</t>
  </si>
  <si>
    <t>1:11,000</t>
  </si>
  <si>
    <t>2279G1100X</t>
  </si>
  <si>
    <t>General Care Registered Respiratory Therapist</t>
  </si>
  <si>
    <t>2279G0305X</t>
  </si>
  <si>
    <t>Geriatric Care Registered Respiratory Therapist</t>
  </si>
  <si>
    <t>2279H0200X</t>
  </si>
  <si>
    <t>Home Health Registered Respiratory Therapist</t>
  </si>
  <si>
    <t>2279P3900X</t>
  </si>
  <si>
    <t>Neonatal/Pediatric Registered Respiratory Therapist</t>
  </si>
  <si>
    <t>2279P3800X</t>
  </si>
  <si>
    <t>Palliative/Hospice Registered Respiratory Therapist</t>
  </si>
  <si>
    <t>2279P4000X</t>
  </si>
  <si>
    <t>Patient Transport Registered Respiratory Therapist</t>
  </si>
  <si>
    <t>2279P1004X</t>
  </si>
  <si>
    <t>Pulmonary Diagnostics Registered Respiratory Therapist</t>
  </si>
  <si>
    <t>2279P1006X</t>
  </si>
  <si>
    <t>Pulmonary Function Technologist Registered Respiratory Therapist</t>
  </si>
  <si>
    <t>2279P1005X</t>
  </si>
  <si>
    <t>Pulmonary Rehabilitation Registered Respiratory Therapist</t>
  </si>
  <si>
    <t>2279S1500X</t>
  </si>
  <si>
    <t>SNF/Subacute Care Registered Respiratory Therapist</t>
  </si>
  <si>
    <t>227900000X</t>
  </si>
  <si>
    <t>Registered Respiratory Therapist</t>
  </si>
  <si>
    <t>2255A2300X - TEMP</t>
  </si>
  <si>
    <t>Specialist/Technologist</t>
  </si>
  <si>
    <t>Athletic Trainer</t>
  </si>
  <si>
    <t>Athletic Trainer Temporary</t>
  </si>
  <si>
    <t>2255A2300X</t>
  </si>
  <si>
    <t>1:7,000-7,400</t>
  </si>
  <si>
    <t>1:4,675</t>
  </si>
  <si>
    <t>1:5,931</t>
  </si>
  <si>
    <t>Source: National Athletic Trainers' Association (www.NATA.org) [1/1/2006: modified definition, modified source]</t>
  </si>
  <si>
    <t>2255R0406X</t>
  </si>
  <si>
    <t>Rehabilitation, Blind</t>
  </si>
  <si>
    <t>Blind Rehabilitation Specialist/Technologist</t>
  </si>
  <si>
    <t>225500000X</t>
  </si>
  <si>
    <t>Respiratory/Developmental/Rehabilitative Specialist/Technologist</t>
  </si>
  <si>
    <t>231HA2400X</t>
  </si>
  <si>
    <t>Speech, Language and Hearing Service Providers</t>
  </si>
  <si>
    <t>Audiologist</t>
  </si>
  <si>
    <t>Assistive Technology Practitioner Audiologist</t>
  </si>
  <si>
    <t>1:150,000</t>
  </si>
  <si>
    <t>231HA2500X</t>
  </si>
  <si>
    <t>Assistive Technology Supplier Audiologist</t>
  </si>
  <si>
    <t>1:5,000-15,000</t>
  </si>
  <si>
    <t>231H00000X</t>
  </si>
  <si>
    <t>1:11,345</t>
  </si>
  <si>
    <t>1:21,088</t>
  </si>
  <si>
    <t>1:15,501</t>
  </si>
  <si>
    <t>Source: (1) American Speech-Language-Hearing Association, (1996, Spring) Scope of practice in Audiology, p. 2</t>
  </si>
  <si>
    <t>237600000X</t>
  </si>
  <si>
    <t>Audiologist-Hearing Aid Fitter</t>
  </si>
  <si>
    <t>Hearing Aid Dispenser</t>
  </si>
  <si>
    <t>1:17,000-20,000</t>
  </si>
  <si>
    <t>1:43,830</t>
  </si>
  <si>
    <t>1:23,955</t>
  </si>
  <si>
    <t>Source: American Academy of Audiology, 1735 N. Lynn St, Suite 950, Arlington VA 22209, (800)AAA-2336)</t>
  </si>
  <si>
    <t>237700000X</t>
  </si>
  <si>
    <t>Hearing Instrument Specialist</t>
  </si>
  <si>
    <t>237700000X - TMP</t>
  </si>
  <si>
    <t>Temporary Hearing Aid Dispenser</t>
  </si>
  <si>
    <t>2355A2700X</t>
  </si>
  <si>
    <t>Audiology Assistant</t>
  </si>
  <si>
    <t>2355S0801X</t>
  </si>
  <si>
    <t>Speech-Language Assistant</t>
  </si>
  <si>
    <t>1:60,000</t>
  </si>
  <si>
    <t>235500000X</t>
  </si>
  <si>
    <t>Speech/Language/Hearing Specialist/Technologist</t>
  </si>
  <si>
    <t>1:19,000-22,000</t>
  </si>
  <si>
    <t>235Z00000X - MIL</t>
  </si>
  <si>
    <t>Speech/Hearing Military Registration</t>
  </si>
  <si>
    <t>235Z00000X - TMP</t>
  </si>
  <si>
    <t>Temporary Speech/Language</t>
  </si>
  <si>
    <t>235Z00000X - ASST</t>
  </si>
  <si>
    <t xml:space="preserve">Speech-Language Pathology Assistant </t>
  </si>
  <si>
    <t>Speech-Language Pathology Assistant</t>
  </si>
  <si>
    <t>235Z00000X</t>
  </si>
  <si>
    <t>Speech-Language Pathologist</t>
  </si>
  <si>
    <t>1:1,565</t>
  </si>
  <si>
    <t>1:1,649</t>
  </si>
  <si>
    <t>1:1,461</t>
  </si>
  <si>
    <t>1:2,343</t>
  </si>
  <si>
    <t>1:1,637</t>
  </si>
  <si>
    <t>"Scope of Practice in Speech-Language Pathology", American Speech-Language-Hearing Association, 2013.</t>
  </si>
  <si>
    <t>390200000X - MED</t>
  </si>
  <si>
    <t>Student, Health Care</t>
  </si>
  <si>
    <t>Student in an Organized Health Care Education/Training Program</t>
  </si>
  <si>
    <t>ACGME Training License</t>
  </si>
  <si>
    <t>[1/1/2005: new]</t>
  </si>
  <si>
    <t>246YR1600X</t>
  </si>
  <si>
    <t>Technologists, Technicians &amp; Other Technical Service Providers</t>
  </si>
  <si>
    <t>Administrative Medical</t>
  </si>
  <si>
    <t>Registered Record Administrator</t>
  </si>
  <si>
    <t>[1/1/2023: marked inactive]&lt;br/&gt;Deactivation Date: 3/31/2023</t>
  </si>
  <si>
    <t>242T00000X</t>
  </si>
  <si>
    <t>Perfusionist</t>
  </si>
  <si>
    <t>1:95,000-111,000</t>
  </si>
  <si>
    <t>Source: Health Professions Career and Education Directory, American Medical Association [1/1/2007: new]</t>
  </si>
  <si>
    <t>2471B0102X</t>
  </si>
  <si>
    <t>Radiologic Technologist</t>
  </si>
  <si>
    <t>Bone Densitometry</t>
  </si>
  <si>
    <t>Bone Densitometry Radiologic Technologist</t>
  </si>
  <si>
    <t>1:13,000-17,000</t>
  </si>
  <si>
    <t>Source: American Society of Radiologic Technologists, https://www.asrt.org/ [1/1/2024: modified definition]</t>
  </si>
  <si>
    <t>2471C1106X</t>
  </si>
  <si>
    <t>Cardiac-Interventional Technology</t>
  </si>
  <si>
    <t>Cardiac-Interventional Technology Radiologic Technologist</t>
  </si>
  <si>
    <t>2471C1101X</t>
  </si>
  <si>
    <t>Cardiovascular-Interventional Technology</t>
  </si>
  <si>
    <t>Cardiovascular-Interventional Technology Radiologic Technologist</t>
  </si>
  <si>
    <t>Source: American Registry of Radiologic Technologists, https://www.arrt.org/. At this time, ARRT no longer offers new credentials in Cardiovascular Interventional Technology. [1/1/2024: modified definition]</t>
  </si>
  <si>
    <t>2471C3401X</t>
  </si>
  <si>
    <t>Computed Tomography</t>
  </si>
  <si>
    <t>Computed Tomography Radiologic Technologist</t>
  </si>
  <si>
    <t>1:4,700</t>
  </si>
  <si>
    <t>2471M1202X</t>
  </si>
  <si>
    <t>Magnetic Resonance Imaging</t>
  </si>
  <si>
    <t>Magnetic Resonance Imaging Radiologic Technologist</t>
  </si>
  <si>
    <t>1:9,200</t>
  </si>
  <si>
    <t>Source: American Society of Radiologic Technologists, https://www.asrt.org/ [1/1/2024 Definition modified]</t>
  </si>
  <si>
    <t>2471M2300X</t>
  </si>
  <si>
    <t>Mammography</t>
  </si>
  <si>
    <t>Mammography Radiologic Technologist</t>
  </si>
  <si>
    <t>2471N0900X</t>
  </si>
  <si>
    <t>Nuclear Medicine Technology</t>
  </si>
  <si>
    <t>Nuclear Medicine Technology Radiologic Technologist</t>
  </si>
  <si>
    <t>2471Q0001X</t>
  </si>
  <si>
    <t>Quality Management</t>
  </si>
  <si>
    <t>Quality Management Radiologic Technologist</t>
  </si>
  <si>
    <t>Source: American Registry of Radiologic Technologists, https://www.arrt.org/. At this time, ARRT no longer offers new credentials in Quality Management. [1/1/2024: modified definition]</t>
  </si>
  <si>
    <t>2471R0002X</t>
  </si>
  <si>
    <t>Radiation Therapy</t>
  </si>
  <si>
    <t>Radiation Therapy Radiologic Technologist</t>
  </si>
  <si>
    <t>2471C3402X</t>
  </si>
  <si>
    <t>Radiography</t>
  </si>
  <si>
    <t>Radiography Radiologic Technologist</t>
  </si>
  <si>
    <t>2471S1302X</t>
  </si>
  <si>
    <t>Sonography</t>
  </si>
  <si>
    <t>Sonography Radiologic Technologist</t>
  </si>
  <si>
    <t>2471V0105X</t>
  </si>
  <si>
    <t>Vascular Sonography</t>
  </si>
  <si>
    <t>Vascular Sonography Radiologic Technologist</t>
  </si>
  <si>
    <t>1:13,000-15,000</t>
  </si>
  <si>
    <t>1:15,000-20,000</t>
  </si>
  <si>
    <t>2471V0106X</t>
  </si>
  <si>
    <t>Vascular-Interventional Technology</t>
  </si>
  <si>
    <t>Vascular-Interventional Technology Radiologic Technologist</t>
  </si>
  <si>
    <t>1:9,000-10,000</t>
  </si>
  <si>
    <t>247100000X</t>
  </si>
  <si>
    <t>243U00000X</t>
  </si>
  <si>
    <t>Radiology Practitioner Assistant</t>
  </si>
  <si>
    <t>Source: Certification Board of Radiology Practitioner Assistants [7/1/2008: new] Additional Resources: www.cbrpa.org</t>
  </si>
  <si>
    <t>246XC2901X</t>
  </si>
  <si>
    <t>Specialist/Technologist Cardiovascular</t>
  </si>
  <si>
    <t>Cardiovascular Invasive Specialist</t>
  </si>
  <si>
    <t>Cardiovascular Invasive Specialist/Technologist</t>
  </si>
  <si>
    <t>1:80,000-100,000</t>
  </si>
  <si>
    <t>Source: U.S. Bureau of Labor Statistics Occupation Outlook Handbook, www.bls.gov.</t>
  </si>
  <si>
    <t>246XS1301X</t>
  </si>
  <si>
    <t>Sonography Specialist/Technologist Cardiovascular</t>
  </si>
  <si>
    <t>246XC2903X</t>
  </si>
  <si>
    <t>Vascular Specialist</t>
  </si>
  <si>
    <t>Vascular Specialist/Technologist Cardiovascular</t>
  </si>
  <si>
    <t>246X00000X</t>
  </si>
  <si>
    <t>Cardiovascular Specialist/Technologist</t>
  </si>
  <si>
    <t>1:28,000</t>
  </si>
  <si>
    <t>Source: (1) Lexikon: Dictionary of Health Care Terms, Organizations and Acronyms for the Era of Reform, The Joint Commission on Accreditation of Healthcare Organizations, Oakbrook Terrace, Illinois: 1994, p. 159.</t>
  </si>
  <si>
    <t>246YC3301X</t>
  </si>
  <si>
    <t>Specialist/Technologist, Health Information</t>
  </si>
  <si>
    <t>Coding Specialist, Hospital Based</t>
  </si>
  <si>
    <t>Hospital Based Coding Specialist</t>
  </si>
  <si>
    <t>1:1,400-1,500</t>
  </si>
  <si>
    <t>246YC3302X</t>
  </si>
  <si>
    <t>Coding Specialist, Physician Office Based</t>
  </si>
  <si>
    <t>Physician Office Based Coding Specialist</t>
  </si>
  <si>
    <t>246Y00000X</t>
  </si>
  <si>
    <t>Health Information Specialist/Technologist</t>
  </si>
  <si>
    <t>Source: American Health Information Management Association, Chicago, IL, 1996.</t>
  </si>
  <si>
    <t>246ZA2600X</t>
  </si>
  <si>
    <t>Specialist/Technologist, Other</t>
  </si>
  <si>
    <t>Art, Medical</t>
  </si>
  <si>
    <t>Medical Art Specialist/Technologist</t>
  </si>
  <si>
    <t>1:350,000-400,000</t>
  </si>
  <si>
    <t>246ZB0500X</t>
  </si>
  <si>
    <t>Biochemist</t>
  </si>
  <si>
    <t>1:100,000-120,000</t>
  </si>
  <si>
    <t>246ZB0301X</t>
  </si>
  <si>
    <t>Biomedical Engineering</t>
  </si>
  <si>
    <t>Biomedical Engineer</t>
  </si>
  <si>
    <t>1:13,000-14,000</t>
  </si>
  <si>
    <t>[1/1/2023: marked inactive]&lt;br/&gt;Deactivation Date: 3/31/2023&lt;br/&gt;</t>
  </si>
  <si>
    <t>246ZB0302X</t>
  </si>
  <si>
    <t>Biomedical Photographer</t>
  </si>
  <si>
    <t>246ZB0600X</t>
  </si>
  <si>
    <t>Biostatistician</t>
  </si>
  <si>
    <t>Biostatiscian</t>
  </si>
  <si>
    <t>1:14,000-15,000</t>
  </si>
  <si>
    <t>246ZE0500X</t>
  </si>
  <si>
    <t>EEG</t>
  </si>
  <si>
    <t>EEG Specialist/Technologist</t>
  </si>
  <si>
    <t>1:120,000-150,000</t>
  </si>
  <si>
    <t>246ZE0600X</t>
  </si>
  <si>
    <t>Electroneurodiagnostic</t>
  </si>
  <si>
    <t>Electroneurodiagnostic Specialist/Technologist</t>
  </si>
  <si>
    <t>246ZG1000X</t>
  </si>
  <si>
    <t>Geneticist, Medical (PhD)</t>
  </si>
  <si>
    <t>Medical Geneticist (PhD) Specialist/Technologist</t>
  </si>
  <si>
    <t>246ZG0701X</t>
  </si>
  <si>
    <t>Graphics Methods</t>
  </si>
  <si>
    <t>Graphics Methods Specialist/Technologist</t>
  </si>
  <si>
    <t>246ZI1000X</t>
  </si>
  <si>
    <t>Illustration, Medical</t>
  </si>
  <si>
    <t>Medical Illustrator</t>
  </si>
  <si>
    <t>246ZN0300X</t>
  </si>
  <si>
    <t>Nephrology Specialist/Technologist</t>
  </si>
  <si>
    <t>246ZX2200X</t>
  </si>
  <si>
    <t>Orthopedic Assistant</t>
  </si>
  <si>
    <t>1:47,600</t>
  </si>
  <si>
    <t>Source: American Society of Orthopaedic Assistants (ASOA), 2014 [7/1/2014: new] Additional Resources: National Board for Certification of Orthopaedic Assistants</t>
  </si>
  <si>
    <t>246ZC0007X</t>
  </si>
  <si>
    <t>Surgical Assistant</t>
  </si>
  <si>
    <t>Source: Association of Surgical Assistants, 2014. [7/1/2007: new, 7/1/2014: title modified, definition modified] http://www.surgicalassistant.org/index.php/surgical-assisting Additional Resources: National Surgical Assistant Association, www.nsaa.net.</t>
  </si>
  <si>
    <t>246ZS0410X</t>
  </si>
  <si>
    <t>Surgical Technologist</t>
  </si>
  <si>
    <t>Source: Association of Surgical Technologists, "Job Description: Surgical Technologist," 2014. [7/1/2014: code modified, title modified, definition added]</t>
  </si>
  <si>
    <t>246Z00000X</t>
  </si>
  <si>
    <t>Other Specialist/Technologist</t>
  </si>
  <si>
    <t>246QB0000X</t>
  </si>
  <si>
    <t>Specialist/Technologist, Pathology</t>
  </si>
  <si>
    <t>Blood Banking</t>
  </si>
  <si>
    <t>Blood Banking Specialist/Technologist</t>
  </si>
  <si>
    <t>246QC1000X</t>
  </si>
  <si>
    <t>Chemistry</t>
  </si>
  <si>
    <t>Chemistry Pathology Specialist/Technologist</t>
  </si>
  <si>
    <t>246QC2700X</t>
  </si>
  <si>
    <t>Cytotechnology</t>
  </si>
  <si>
    <t>Cytotechnology Specialist/Technologist</t>
  </si>
  <si>
    <t>1:83,500</t>
  </si>
  <si>
    <t>1:40,000-60,000</t>
  </si>
  <si>
    <t>246QH0401X</t>
  </si>
  <si>
    <t>Hemapheresis Practitioner</t>
  </si>
  <si>
    <t>246QH0000X</t>
  </si>
  <si>
    <t>Hematology Specialist/Technologist</t>
  </si>
  <si>
    <t>246QH0600X</t>
  </si>
  <si>
    <t>Histology</t>
  </si>
  <si>
    <t>Histology Specialist/Technologist</t>
  </si>
  <si>
    <t>1:33,300</t>
  </si>
  <si>
    <t>246QI0000X</t>
  </si>
  <si>
    <t>Immunology</t>
  </si>
  <si>
    <t>Immunology Pathology Specialist/Technologist</t>
  </si>
  <si>
    <t>1:20,00-30,000</t>
  </si>
  <si>
    <t>246QL0900X</t>
  </si>
  <si>
    <t>Laboratory Management</t>
  </si>
  <si>
    <t>Laboratory Management Specialist/Technologist</t>
  </si>
  <si>
    <t>246QL0901X</t>
  </si>
  <si>
    <t>Laboratory Management, Diplomate</t>
  </si>
  <si>
    <t>Diplomate Laboratory Management Specialist/Technologist</t>
  </si>
  <si>
    <t>246QM0706X</t>
  </si>
  <si>
    <t>Medical Technologist</t>
  </si>
  <si>
    <t>246QM0900X</t>
  </si>
  <si>
    <t>Microbiology</t>
  </si>
  <si>
    <t>Microbiology Specialist/Technologist</t>
  </si>
  <si>
    <t>1:6,600</t>
  </si>
  <si>
    <t>246Q00000X</t>
  </si>
  <si>
    <t>Pathology Specialist/Technologist</t>
  </si>
  <si>
    <t>246W00000X</t>
  </si>
  <si>
    <t>Technician, Cardiology</t>
  </si>
  <si>
    <t>Cardiology Technician</t>
  </si>
  <si>
    <t>2470A2800X</t>
  </si>
  <si>
    <t>Technician, Health Information</t>
  </si>
  <si>
    <t>Assistant Record Technician</t>
  </si>
  <si>
    <t>Assistant Health Information Record Technician</t>
  </si>
  <si>
    <t>1:1,600</t>
  </si>
  <si>
    <t>247000000X</t>
  </si>
  <si>
    <t>Health Information Technician</t>
  </si>
  <si>
    <t>2472B0301X</t>
  </si>
  <si>
    <t>Technician, Other</t>
  </si>
  <si>
    <t>Biomedical Engineering Technician</t>
  </si>
  <si>
    <t>2472D0500X</t>
  </si>
  <si>
    <t>Darkroom</t>
  </si>
  <si>
    <t>Darkroom Technician</t>
  </si>
  <si>
    <t>2472E0500X</t>
  </si>
  <si>
    <t>EEG Technician</t>
  </si>
  <si>
    <t>2472R0900X</t>
  </si>
  <si>
    <t>Renal Dialysis</t>
  </si>
  <si>
    <t>Renal Dialysis Technician</t>
  </si>
  <si>
    <t>1:42,000</t>
  </si>
  <si>
    <t>2472V0600X - TEMP</t>
  </si>
  <si>
    <t>Veterinary</t>
  </si>
  <si>
    <t>Temporary Veterinary Technicna</t>
  </si>
  <si>
    <t>2472V0600X</t>
  </si>
  <si>
    <t>Veterinary Technician</t>
  </si>
  <si>
    <t>1:2,900</t>
  </si>
  <si>
    <t>247200000X</t>
  </si>
  <si>
    <t>Other Technician</t>
  </si>
  <si>
    <t>1:133</t>
  </si>
  <si>
    <t>1:100</t>
  </si>
  <si>
    <t>Sources: Rhea, Ott, and Shafritz, The Facts On File Dictionary of Health Care Management, New York: Facts On File Publications, 1988; Dorland's Illustrated Medical Dictionary, 26th Edition. Philadelphia: W.B. Saunders Company, 1981; and Webster's II New Riverside University Dictionary. Boston: Riverside Publishing Company, 1984.</t>
  </si>
  <si>
    <t>247ZC0005X</t>
  </si>
  <si>
    <t>Technician, Pathology</t>
  </si>
  <si>
    <t>Clinical Laboratory Director, Non-physician</t>
  </si>
  <si>
    <t>Clinical Laboratory Director (Non-physician)</t>
  </si>
  <si>
    <t>1:83,000</t>
  </si>
  <si>
    <t>1:1,000,000</t>
  </si>
  <si>
    <t>246RH0600X</t>
  </si>
  <si>
    <t>Histology Technician</t>
  </si>
  <si>
    <t>246RM2200X</t>
  </si>
  <si>
    <t>Medical Laboratory</t>
  </si>
  <si>
    <t>Medical Laboratory Technician</t>
  </si>
  <si>
    <t>1:977</t>
  </si>
  <si>
    <t>246RP1900X</t>
  </si>
  <si>
    <t>Phlebotomy</t>
  </si>
  <si>
    <t>Phlebotomy Technician</t>
  </si>
  <si>
    <t>246R00000X</t>
  </si>
  <si>
    <t>Pathology Technician</t>
  </si>
  <si>
    <t>1:6,500</t>
  </si>
  <si>
    <t>251S00000X</t>
  </si>
  <si>
    <t>Non-Individual</t>
  </si>
  <si>
    <t>Agencies</t>
  </si>
  <si>
    <t>Community/Behavioral Health</t>
  </si>
  <si>
    <t>Community/Behavioral Health Agency</t>
  </si>
  <si>
    <t>Source: National Medicaid EDI HIPAA NPI Sub Work Group [1/1/2007: modified definition, 1/1/2021: modified definition]</t>
  </si>
  <si>
    <t>251C00000X</t>
  </si>
  <si>
    <t>Day Training, Developmentally Disabled Services</t>
  </si>
  <si>
    <t>Developmentally Disabled Services Day Training Agency</t>
  </si>
  <si>
    <t>252Y00000X</t>
  </si>
  <si>
    <t>Early Intervention Provider Agency</t>
  </si>
  <si>
    <t>Source: National Dissemination Center for Children with Disabilities [7/1/2007: new] http://www.nichcy.org/pubs/parent/pa2txt.htm</t>
  </si>
  <si>
    <t>253J00000X</t>
  </si>
  <si>
    <t>Foster Care Agency</t>
  </si>
  <si>
    <t>Source: Code Of Federal Regulations, Title 45, Volume 4, Part 1355, Section 57 [1/1/2008: new]</t>
  </si>
  <si>
    <t>251E00000X</t>
  </si>
  <si>
    <t>Home Health Agency</t>
  </si>
  <si>
    <t>Source: CFR42 Chapter IV Part 484, http://www.access.gpo.gov/nara/cfr/waisidx_99/42cfr484_99.html [7/1/2007: definition added, source added]</t>
  </si>
  <si>
    <t>251F00000X</t>
  </si>
  <si>
    <t>Home Infusion</t>
  </si>
  <si>
    <t>Home Infusion Agency</t>
  </si>
  <si>
    <t>251G00000X</t>
  </si>
  <si>
    <t>Hospice Care, Community Based</t>
  </si>
  <si>
    <t>Community Based Hospice Care Agency</t>
  </si>
  <si>
    <t>253Z00000X</t>
  </si>
  <si>
    <t>In Home Supportive Care</t>
  </si>
  <si>
    <t>In Home Supportive Care Agency</t>
  </si>
  <si>
    <t>Source: National Uniform Claim Committee, 2008 [7/1/2008: new]</t>
  </si>
  <si>
    <t>251300000X</t>
  </si>
  <si>
    <t>Local Education Agency (LEA)</t>
  </si>
  <si>
    <t>Source: Portions of IDEA Regulations Part B (34 CFR Part 300.18, Assistance to States for the Education of Children with Disabilities) [1/1/2006: new]</t>
  </si>
  <si>
    <t>251J00000X</t>
  </si>
  <si>
    <t>Nursing Care</t>
  </si>
  <si>
    <t>Nursing Care Agency</t>
  </si>
  <si>
    <t>Source: National Uniform Claim Committee, 2008 [7/1/2008: modified definition]</t>
  </si>
  <si>
    <t>251T00000X</t>
  </si>
  <si>
    <t>Program of All-Inclusive Care for the Elderly (PACE) Provider Organization</t>
  </si>
  <si>
    <t>PACE Provider Organization</t>
  </si>
  <si>
    <t>Source: Centers for Medicare and Medicaid, PACE Fact Sheet http://www.cms.hhs.gov/PACE/Downloads/PACEFactSheet.pdf [7/1/2006: new]</t>
  </si>
  <si>
    <t>251K00000X</t>
  </si>
  <si>
    <t>Public Health or Welfare</t>
  </si>
  <si>
    <t>Public Health or Welfare Agency</t>
  </si>
  <si>
    <t>251X00000X</t>
  </si>
  <si>
    <t>Supports Brokerage</t>
  </si>
  <si>
    <t>Supports Brokerage Agency</t>
  </si>
  <si>
    <t>Source: CMS Independence Plus Waiver template. [7/1/2006: new]</t>
  </si>
  <si>
    <t>251V00000X</t>
  </si>
  <si>
    <t>Voluntary or Charitable</t>
  </si>
  <si>
    <t>Voluntary or Charitable Agency</t>
  </si>
  <si>
    <t>261QM0855X</t>
  </si>
  <si>
    <t>Ambulatory Health Care Facilities</t>
  </si>
  <si>
    <t>Clinic/Center</t>
  </si>
  <si>
    <t>Adolescent and Children Mental Health</t>
  </si>
  <si>
    <t>Adolescent and Children Mental Health Clinic/Center</t>
  </si>
  <si>
    <t>261QA0600X</t>
  </si>
  <si>
    <t>Adult Day Care</t>
  </si>
  <si>
    <t>Adult Day Care Clinic/Center</t>
  </si>
  <si>
    <t>261QM0850X</t>
  </si>
  <si>
    <t>Adult Mental Health</t>
  </si>
  <si>
    <t>Adult Mental Health Clinic/Center</t>
  </si>
  <si>
    <t>261QA0005X</t>
  </si>
  <si>
    <t>Ambulatory Family Planning Facility</t>
  </si>
  <si>
    <t>261QA0006X</t>
  </si>
  <si>
    <t>Ambulatory Fertility Facility</t>
  </si>
  <si>
    <t>261QA1903X</t>
  </si>
  <si>
    <t>Ambulatory Surgical</t>
  </si>
  <si>
    <t>Ambulatory Surgical Clinic/Center</t>
  </si>
  <si>
    <t>261QA0900X</t>
  </si>
  <si>
    <t>Amputee</t>
  </si>
  <si>
    <t>Amputee Clinic/Center</t>
  </si>
  <si>
    <t>Augmentative Communication</t>
  </si>
  <si>
    <t>Augmentative Communication Clinic/Center</t>
  </si>
  <si>
    <t>261QB0400X</t>
  </si>
  <si>
    <t>Birthing</t>
  </si>
  <si>
    <t>Birthing Clinic/Center</t>
  </si>
  <si>
    <t>Source: Summarized from Social Security Act [42 U.S.C. 1396d(1)(3)(B)] [1/1/2013: added definition]</t>
  </si>
  <si>
    <t>261QC1500X</t>
  </si>
  <si>
    <t>Community Health Clinic/Center</t>
  </si>
  <si>
    <t>261QC1800X</t>
  </si>
  <si>
    <t>Corporate Health</t>
  </si>
  <si>
    <t>Corporate Health Clinic/Center</t>
  </si>
  <si>
    <t>261QC0050X</t>
  </si>
  <si>
    <t>Critical Access Hospital</t>
  </si>
  <si>
    <t>Critical Access Hospital Clinic/Center</t>
  </si>
  <si>
    <t>261QD0000X</t>
  </si>
  <si>
    <t>Dental</t>
  </si>
  <si>
    <t>Dental Clinic/Center</t>
  </si>
  <si>
    <t>261QD1600X</t>
  </si>
  <si>
    <t>Developmental Disabilities</t>
  </si>
  <si>
    <t>Developmental Disabilities Clinic/Center</t>
  </si>
  <si>
    <t>261QE0002X</t>
  </si>
  <si>
    <t>Emergency Care Clinic/Center</t>
  </si>
  <si>
    <t>261QE0700X</t>
  </si>
  <si>
    <t>End-Stage Renal Disease (ESRD) Treatment</t>
  </si>
  <si>
    <t>End-Stage Renal Disease (ESRD) Treatment Clinic/Center</t>
  </si>
  <si>
    <t>261QE0800X</t>
  </si>
  <si>
    <t>Endoscopy</t>
  </si>
  <si>
    <t>Endoscopy Clinic/Center</t>
  </si>
  <si>
    <t>261QF0050X</t>
  </si>
  <si>
    <t>Family Planning, Non-Surgical</t>
  </si>
  <si>
    <t>Non-Surgical Family Planning Clinic/Center</t>
  </si>
  <si>
    <t>261QF0400X</t>
  </si>
  <si>
    <t>Federally Qualified Health Center (FQHC)</t>
  </si>
  <si>
    <t>261QG0250X</t>
  </si>
  <si>
    <t>Genetics</t>
  </si>
  <si>
    <t>Genetics Clinic/Center</t>
  </si>
  <si>
    <t>261QH0100X</t>
  </si>
  <si>
    <t>Health Service Clinic/Center</t>
  </si>
  <si>
    <t>[7/1/2006: modified title]</t>
  </si>
  <si>
    <t>261QH0700X</t>
  </si>
  <si>
    <t>Hearing and Speech</t>
  </si>
  <si>
    <t>Hearing and Speech Clinic/Center</t>
  </si>
  <si>
    <t>261QI0500X</t>
  </si>
  <si>
    <t>Infusion Therapy Clinic/Center</t>
  </si>
  <si>
    <t>261QL0400X</t>
  </si>
  <si>
    <t>Lithotripsy</t>
  </si>
  <si>
    <t>Lithotripsy Clinic/Center</t>
  </si>
  <si>
    <t>261QM1200X</t>
  </si>
  <si>
    <t>Magnetic Resonance Imaging (MRI) Clinic/Center</t>
  </si>
  <si>
    <t>261QM2500X</t>
  </si>
  <si>
    <t>Medical Specialty</t>
  </si>
  <si>
    <t>Medical Specialty Clinic/Center</t>
  </si>
  <si>
    <t>261QM3000X</t>
  </si>
  <si>
    <t>Medically Fragile Infants and Children Day Care</t>
  </si>
  <si>
    <t>261QM0801X</t>
  </si>
  <si>
    <t>Mental Health (Including Community Mental Health Center)</t>
  </si>
  <si>
    <t>Mental Health Clinic/Center (Including Community Mental Health Center)</t>
  </si>
  <si>
    <t>261QM2800X</t>
  </si>
  <si>
    <t>Methadone</t>
  </si>
  <si>
    <t>Methadone Clinic</t>
  </si>
  <si>
    <t>261QM1000X</t>
  </si>
  <si>
    <t>Migrant Health</t>
  </si>
  <si>
    <t>Migrant Health Clinic/Center</t>
  </si>
  <si>
    <t>261QM1103X</t>
  </si>
  <si>
    <t>Military Ambulatory Procedure Visits Operational (Transportable)</t>
  </si>
  <si>
    <t>Military Ambulatory Procedure Visits Operational (Transportable) Clinic/Center</t>
  </si>
  <si>
    <t>261QM1101X</t>
  </si>
  <si>
    <t>Military and U.S. Coast Guard Ambulatory Procedure</t>
  </si>
  <si>
    <t>Military and U.S. Coast Guard Ambulatory Procedure Clinic/Center</t>
  </si>
  <si>
    <t>Source: TRICARE Management Activity Uniform Business Office User's Guide [1/1/2005: title modified, definition added; 7/1/2006 title modified, definition modified]</t>
  </si>
  <si>
    <t>261QM1102X</t>
  </si>
  <si>
    <t>Military Outpatient Operational (Transportable) Component</t>
  </si>
  <si>
    <t>Military Outpatient Operational (Transportable) Component Clinic/Center</t>
  </si>
  <si>
    <t>[1/1/2005: title modified, definition added]</t>
  </si>
  <si>
    <t>261QM1100X</t>
  </si>
  <si>
    <t>Military/U.S. Coast Guard Outpatient</t>
  </si>
  <si>
    <t>Military/U.S. Coast Guard Outpatient Clinic/Center</t>
  </si>
  <si>
    <t>261QM1300X</t>
  </si>
  <si>
    <t>Multi-Specialty</t>
  </si>
  <si>
    <t>Multi-Specialty Clinic/Center</t>
  </si>
  <si>
    <t>261QX0100X</t>
  </si>
  <si>
    <t>Occupational Medicine Clinic/Center</t>
  </si>
  <si>
    <t>261QX0200X</t>
  </si>
  <si>
    <t>Oncology Clinic/Center</t>
  </si>
  <si>
    <t>261QX0203X</t>
  </si>
  <si>
    <t>Oncology, Radiation</t>
  </si>
  <si>
    <t>Radiation Oncology Clinic/Center</t>
  </si>
  <si>
    <t>261QS0132X</t>
  </si>
  <si>
    <t>Ophthalmologic Surgery</t>
  </si>
  <si>
    <t>Ophthalmologic Surgery Clinic/Center</t>
  </si>
  <si>
    <t>261QS0112X</t>
  </si>
  <si>
    <t>Oral and Maxillofacial Surgery Clinic/Center</t>
  </si>
  <si>
    <t>261QP3300X</t>
  </si>
  <si>
    <t>Pain</t>
  </si>
  <si>
    <t>Pain Clinic/Center</t>
  </si>
  <si>
    <t>261QP2000X</t>
  </si>
  <si>
    <t>Physical Therapy</t>
  </si>
  <si>
    <t>Physical Therapy Clinic/Center</t>
  </si>
  <si>
    <t>Source: Guide to PT Practice 3.0 [1/1/2020: definition added] Additional resources: http://guidetoptpractice.apta.org/ ; American Physical Therapy Association, www.apta.org.</t>
  </si>
  <si>
    <t>261QP1100X</t>
  </si>
  <si>
    <t>Podiatric</t>
  </si>
  <si>
    <t>Podiatric Clinic/Center</t>
  </si>
  <si>
    <t>261QP2300X</t>
  </si>
  <si>
    <t>Primary Care Clinic/Center</t>
  </si>
  <si>
    <t>261QP2400X</t>
  </si>
  <si>
    <t>Prison Health</t>
  </si>
  <si>
    <t>Prison Health Clinic/Center</t>
  </si>
  <si>
    <t>261QP0904X</t>
  </si>
  <si>
    <t>Public Health, Federal</t>
  </si>
  <si>
    <t>Federal Public Health Clinic/Center</t>
  </si>
  <si>
    <t>261QP0905X</t>
  </si>
  <si>
    <t>Public Health, State or Local</t>
  </si>
  <si>
    <t>State or Local Public Health Clinic/Center</t>
  </si>
  <si>
    <t>261QR0200X</t>
  </si>
  <si>
    <t>Radiology Clinic/Center</t>
  </si>
  <si>
    <t>261QR0206X</t>
  </si>
  <si>
    <t>Radiology, Mammography</t>
  </si>
  <si>
    <t>Mammography Clinic/Center</t>
  </si>
  <si>
    <t>261QR0208X</t>
  </si>
  <si>
    <t>Radiology, Mobile</t>
  </si>
  <si>
    <t>Mobile Radiology Clinic/Center</t>
  </si>
  <si>
    <t>261QR0207X</t>
  </si>
  <si>
    <t>Radiology, Mobile Mammography</t>
  </si>
  <si>
    <t>Mobile Mammography Clinic/Center</t>
  </si>
  <si>
    <t>261QR0800X</t>
  </si>
  <si>
    <t>Recovery Care</t>
  </si>
  <si>
    <t>Recovery Care Clinic/Center</t>
  </si>
  <si>
    <t>261QR0400X</t>
  </si>
  <si>
    <t>Rehabilitation Clinic/Center</t>
  </si>
  <si>
    <t>261QR0404X</t>
  </si>
  <si>
    <t>Rehabilitation, Cardiac Facilities</t>
  </si>
  <si>
    <t>Cardiac Rehabilitation Clinic/Center</t>
  </si>
  <si>
    <t>261QR0401X</t>
  </si>
  <si>
    <t>Rehabilitation, Comprehensive Outpatient Rehabilitation Facility (CORF)</t>
  </si>
  <si>
    <t>Comprehensive Outpatient Rehabilitation Facility (CORF)</t>
  </si>
  <si>
    <t>261QR0405X</t>
  </si>
  <si>
    <t>Rehabilitation, Substance Use Disorder</t>
  </si>
  <si>
    <t>Substance Use Disorder Rehabilitation Clinic/Center</t>
  </si>
  <si>
    <t>261QR1100X</t>
  </si>
  <si>
    <t>Research</t>
  </si>
  <si>
    <t>Research Clinic/Center</t>
  </si>
  <si>
    <t>261QR1300X</t>
  </si>
  <si>
    <t>Rural Health</t>
  </si>
  <si>
    <t>Rural Health Clinic/Center</t>
  </si>
  <si>
    <t>261QS1200X</t>
  </si>
  <si>
    <t>Sleep Disorder Diagnostic</t>
  </si>
  <si>
    <t>Sleep Disorder Diagnostic Clinic/Center</t>
  </si>
  <si>
    <t>261QS1000X</t>
  </si>
  <si>
    <t>Student Health</t>
  </si>
  <si>
    <t>Student Health Clinic/Center</t>
  </si>
  <si>
    <t>261QU0200X</t>
  </si>
  <si>
    <t>Urgent Care</t>
  </si>
  <si>
    <t>Urgent Care Clinic/Center</t>
  </si>
  <si>
    <t>261QV0200X</t>
  </si>
  <si>
    <t>VA</t>
  </si>
  <si>
    <t>VA Clinic/Center</t>
  </si>
  <si>
    <t>261Q00000X</t>
  </si>
  <si>
    <t>273100000X</t>
  </si>
  <si>
    <t>Hospital Units</t>
  </si>
  <si>
    <t>Epilepsy Unit</t>
  </si>
  <si>
    <t>Epilepsy Hospital Unit</t>
  </si>
  <si>
    <t>Source: National Uniform Claim Committee [7/1/2007: new]</t>
  </si>
  <si>
    <t>275N00000X</t>
  </si>
  <si>
    <t>Medicare Defined Swing Bed Unit</t>
  </si>
  <si>
    <t>Medicare Defined Swing Bed Hospital Unit</t>
  </si>
  <si>
    <t>Source: Code of Federal Regulations #42, Section 482.66.</t>
  </si>
  <si>
    <t>273R00000X</t>
  </si>
  <si>
    <t>Psychiatric Unit</t>
  </si>
  <si>
    <t>Psychiatric Hospital Unit</t>
  </si>
  <si>
    <t>Source: (1) AHA Annual Survey p. A10 1996 AHA Guide; (2) Code of Federal Regulations #42, Section 412.27.</t>
  </si>
  <si>
    <t>273Y00000X</t>
  </si>
  <si>
    <t>Rehabilitation Unit</t>
  </si>
  <si>
    <t>Rehabilitation Hospital Unit</t>
  </si>
  <si>
    <t>Source: Code of Federal Regulations #42, Section 412.29.</t>
  </si>
  <si>
    <t>276400000X</t>
  </si>
  <si>
    <t>Rehabilitation, Substance Use Disorder Unit</t>
  </si>
  <si>
    <t>Substance Use Disorder Rehabilitation Hospital Unit</t>
  </si>
  <si>
    <t>Source: Department of Defense Regulation 6010.8-R, Chapter 6.</t>
  </si>
  <si>
    <t>287300000X</t>
  </si>
  <si>
    <t>Hospitals</t>
  </si>
  <si>
    <t>Christian Science Sanitorium</t>
  </si>
  <si>
    <t>Deactivated - Christian Science Sanitorium</t>
  </si>
  <si>
    <t>[7/1/2009: marked inactive]</t>
  </si>
  <si>
    <t>281PC2000X</t>
  </si>
  <si>
    <t>Chronic Disease Hospital</t>
  </si>
  <si>
    <t>Children</t>
  </si>
  <si>
    <t>Children's Chronic Disease Hospital</t>
  </si>
  <si>
    <t>281P00000X</t>
  </si>
  <si>
    <t>Source: (1) Expanded from Rhea, Ott, and Shafritz, The Facts On File Dictionary of Health Care Management, New York: Facts On File Publications, 1988.</t>
  </si>
  <si>
    <t>282NC2000X</t>
  </si>
  <si>
    <t>General Acute Care Hospital</t>
  </si>
  <si>
    <t>Children's Hospital</t>
  </si>
  <si>
    <t>282NC0060X</t>
  </si>
  <si>
    <t>Critical Access</t>
  </si>
  <si>
    <t>282NR1301X</t>
  </si>
  <si>
    <t>Rural</t>
  </si>
  <si>
    <t>Rural Acute Care Hospital</t>
  </si>
  <si>
    <t>282NW0100X</t>
  </si>
  <si>
    <t>Women's Hospital</t>
  </si>
  <si>
    <t>282N00000X</t>
  </si>
  <si>
    <t>282E00000X</t>
  </si>
  <si>
    <t>Long Term Care Hospital</t>
  </si>
  <si>
    <t>Source: American Hospital Association [7/1/2006: new]</t>
  </si>
  <si>
    <t>2865C1500X</t>
  </si>
  <si>
    <t>Military Hospital</t>
  </si>
  <si>
    <t>Deactivated - Military Hospital</t>
  </si>
  <si>
    <t>[1/1/2005: marked inactive]</t>
  </si>
  <si>
    <t>2865M2000X</t>
  </si>
  <si>
    <t>Military General Acute Care Hospital</t>
  </si>
  <si>
    <t>2865X1600X</t>
  </si>
  <si>
    <t>Military General Acute Care Hospital. Operational (Transportable)</t>
  </si>
  <si>
    <t>Operational (Transportable) Military General Acute Care Hospital</t>
  </si>
  <si>
    <t>286500000X</t>
  </si>
  <si>
    <t>283Q00000X</t>
  </si>
  <si>
    <t>Psychiatric Hospital</t>
  </si>
  <si>
    <t>Source: Expanded from Rhea, Ott, and Shafritz, The Facts On File Dictionary of Health Care Management, New York: Facts On File Publications, 1988.</t>
  </si>
  <si>
    <t>283XC2000X</t>
  </si>
  <si>
    <t>Rehabilitation Hospital</t>
  </si>
  <si>
    <t>Children's Rehabilitation Hospital</t>
  </si>
  <si>
    <t>283X00000X</t>
  </si>
  <si>
    <t>282J00000X</t>
  </si>
  <si>
    <t>Religious Nonmedical Health Care Institution</t>
  </si>
  <si>
    <t>Source: Centers for Medicare &amp; Medicaid Services, http://www.cms.hhs.gov/CertificationandComplianc/19_RNHCIs.asp#TopOfPage [7/1/2006: new]</t>
  </si>
  <si>
    <t>284300000X</t>
  </si>
  <si>
    <t>Special Hospital</t>
  </si>
  <si>
    <t>Source: AHA Guide, Registration section, p. A5.</t>
  </si>
  <si>
    <t>291U00000X</t>
  </si>
  <si>
    <t>Laboratories</t>
  </si>
  <si>
    <t>Clinical Medical Laboratory</t>
  </si>
  <si>
    <t>Source: (1) Code of Federal Regulations #42, Public Health, Section 493.2. (2) ) Lexikon: Dictionary of Health Care Terms, Organizations and Acronyms for the Era of Reform, The Joint Commission on Accreditation of Healthcare Organizations, Oakbrook Terrace, Illinois: 1994, p. 186.</t>
  </si>
  <si>
    <t>292200000X</t>
  </si>
  <si>
    <t>Dental Laboratory</t>
  </si>
  <si>
    <t>Source: Lexikon: Dictionary of Health Care Terms, Organizations and Acronyms for the Era of Reform, The Joint Commission on Accreditation of Healthcare Organizations, Oakbrook Terrace, Illinois: 1994, p. 1245.</t>
  </si>
  <si>
    <t>291900000X</t>
  </si>
  <si>
    <t>Military Clinical Medical Laboratory</t>
  </si>
  <si>
    <t>293D00000X</t>
  </si>
  <si>
    <t>Physiological Laboratory</t>
  </si>
  <si>
    <t>Source: Paraphrased from the Medicare Carrier Manual, Section 2070.5.</t>
  </si>
  <si>
    <t>302F00000X</t>
  </si>
  <si>
    <t>Managed Care Organizations</t>
  </si>
  <si>
    <t>Exclusive Provider Organization</t>
  </si>
  <si>
    <t>Source: (1) Medical Interface: Managed Care A thru Z- Managed Care Terms published by Medicom International, Bronxville, New York Telephone (914) 337-5023, p. 15; (2) "Glossary of terms used in managed care" Developed by the Managed Care Assembly (MCA) of Medical Group Management Association (MGMA), MGM Journal, September/October 1995, p. 58; (3) Rhea, Ott, and Shafritz, The Facts On File Dictionary of Health Care Management, New York: Facts On File Publications, 1988.</t>
  </si>
  <si>
    <t>302R00000X</t>
  </si>
  <si>
    <t>Health Maintenance Organization</t>
  </si>
  <si>
    <t>Source: (1) Medical Interface: Managed Care A thru Z- Managed Care Terms published by Medicom International, Bronxville, New York Telephone (914) 337-5023, p. 20; (2) "Glossary of terms used in managed care" Developed by the Managed Care Assembly (MCA) of Medical Group Management Association (MGMA), MGM Journal, September/October 1995, p. 58</t>
  </si>
  <si>
    <t>305S00000X</t>
  </si>
  <si>
    <t>Point of Service</t>
  </si>
  <si>
    <t>Source: "Glossary of terms used in managed care" Developed by the Managed Care Assembly (MCA) of Medical Group Management Association (MGMA), MGM Journal, September/October 1995, p. 62</t>
  </si>
  <si>
    <t>305R00000X</t>
  </si>
  <si>
    <t>Preferred Provider Organization</t>
  </si>
  <si>
    <t>Source: "Glossary of terms used in managed care" Developed by the Managed Care Assembly (MCA) of Medical Group Management Association (MGMA), MGM Journal, September/ October 1995, p. 62</t>
  </si>
  <si>
    <t>311500000X</t>
  </si>
  <si>
    <t>Nursing &amp; Custodial Care Facilities</t>
  </si>
  <si>
    <t>Alzheimer Center (Dementia Center)</t>
  </si>
  <si>
    <t>3104A0630X</t>
  </si>
  <si>
    <t>Assisted Living Facility</t>
  </si>
  <si>
    <t>Assisted Living, Behavioral Disturbances</t>
  </si>
  <si>
    <t>Assisted Living Facility (Behavioral Disturbances)</t>
  </si>
  <si>
    <t>3104A0625X</t>
  </si>
  <si>
    <t>Assisted Living, Mental Illness</t>
  </si>
  <si>
    <t>Assisted Living Facility (Mental Illness)</t>
  </si>
  <si>
    <t>310400000X</t>
  </si>
  <si>
    <t>317400000X</t>
  </si>
  <si>
    <t>Christian Science Facility</t>
  </si>
  <si>
    <t>Deactivated - Christian Science Facility</t>
  </si>
  <si>
    <t>311ZA0620X</t>
  </si>
  <si>
    <t>Custodial Care Facility</t>
  </si>
  <si>
    <t>Adult Care Home</t>
  </si>
  <si>
    <t>Adult Care Home Facility</t>
  </si>
  <si>
    <t>311Z00000X</t>
  </si>
  <si>
    <t>Source: Paraphrased from Section 3159 A3 of the Medicare Intermediary Manual.</t>
  </si>
  <si>
    <t>315D00000X</t>
  </si>
  <si>
    <t>Hospice, Inpatient</t>
  </si>
  <si>
    <t>Inpatient Hospice</t>
  </si>
  <si>
    <t>Source: AHA Guide, American Hospital Association.</t>
  </si>
  <si>
    <t>315P00000X</t>
  </si>
  <si>
    <t>Intermediate Care Facility, Intellectual Disabilities</t>
  </si>
  <si>
    <t>Intellectual Disabilities Intermediate Care Facility</t>
  </si>
  <si>
    <t>Source: Public Health, 42 CFR § 400.200 (2021)</t>
  </si>
  <si>
    <t>310500000X</t>
  </si>
  <si>
    <t>Intermediate Care Facility, Mental Illness</t>
  </si>
  <si>
    <t>Mental Illness Intermediate Care Facility</t>
  </si>
  <si>
    <t>313M00000X</t>
  </si>
  <si>
    <t>Nursing Facility/Intermediate Care Facility</t>
  </si>
  <si>
    <t>Source: Paraphrased from Section 1919 (a) of the Social Security Act.</t>
  </si>
  <si>
    <t>3140N1450X</t>
  </si>
  <si>
    <t>Skilled Nursing Facility</t>
  </si>
  <si>
    <t>Nursing Care, Pediatric</t>
  </si>
  <si>
    <t>Pediatric Skilled Nursing Facility</t>
  </si>
  <si>
    <t>314000000X</t>
  </si>
  <si>
    <t>Source: (1) "Glossary of terms used in managed care" Developed by the Managed Care Assembly (MCA) of Medical Group Management Association (MGMA), MGM Journal, September/October 1995, p. 64; (2) AHA Guide, 1996 Annual Survey.</t>
  </si>
  <si>
    <t>177F00000X</t>
  </si>
  <si>
    <t>Lodging</t>
  </si>
  <si>
    <t>Lodging Provider</t>
  </si>
  <si>
    <t>174200000X</t>
  </si>
  <si>
    <t>Meals</t>
  </si>
  <si>
    <t>Meals Provider</t>
  </si>
  <si>
    <t>Source: SD DSS Non-Emergency Medical Transportation program Transportation Services [7/1/2010: new]</t>
  </si>
  <si>
    <t>320900000X</t>
  </si>
  <si>
    <t>Residential Treatment Facilities</t>
  </si>
  <si>
    <t>Community Based Residential Treatment Facility, Intellectual and/or Developmental Disabilities</t>
  </si>
  <si>
    <t>Intellectual and/or Developmental Disabilities Community Based Residential Treatment Facility</t>
  </si>
  <si>
    <t>[7/1/2003: new, 1/1/2021: modified title, modified definition]</t>
  </si>
  <si>
    <t>320800000X</t>
  </si>
  <si>
    <t>Community Based Residential Treatment Facility, Mental Illness</t>
  </si>
  <si>
    <t>Mental Illness Community Based Residential Treatment Facility</t>
  </si>
  <si>
    <t>323P00000X</t>
  </si>
  <si>
    <t>Psychiatric Residential Treatment Facility</t>
  </si>
  <si>
    <t>Source: Champus Policy manual, Volume II, p. 6010.47M dated 9/12/94. Revision: Definition title revised 7/1/03</t>
  </si>
  <si>
    <t>322D00000X</t>
  </si>
  <si>
    <t>Residential Treatment Facility, Emotionally Disturbed Children</t>
  </si>
  <si>
    <t>Emotionally Disturbed Childrens' Residential Treatment Facility</t>
  </si>
  <si>
    <t>Source: U.S. Department of Defense Regulation 6010.8-R, Chapter 6. [1/1/2021: modified definition]</t>
  </si>
  <si>
    <t>320600000X</t>
  </si>
  <si>
    <t>Residential Treatment Facility, Intellectual and/or Developmental Disabilities</t>
  </si>
  <si>
    <t>Intellectual and/or Developmental Disabilities Residential Treatment Facility</t>
  </si>
  <si>
    <t>[7/1/2003: new. 1/1/2021: modified title and definition]</t>
  </si>
  <si>
    <t>320700000X</t>
  </si>
  <si>
    <t>Residential Treatment Facility, Physical Disabilities</t>
  </si>
  <si>
    <t>Physical Disabilities Residential Treatment Facility</t>
  </si>
  <si>
    <t>[7/1/2003: new, 1/1/2021: modified definition]</t>
  </si>
  <si>
    <t>3245S0500X</t>
  </si>
  <si>
    <t>Substance Abuse Rehabilitation Facility</t>
  </si>
  <si>
    <t>Substance Abuse Treatment, Children</t>
  </si>
  <si>
    <t>Children's Substance Abuse Rehabilitation Facility</t>
  </si>
  <si>
    <t>324500000X</t>
  </si>
  <si>
    <t>[7/1/2003: modified title, modified definition]</t>
  </si>
  <si>
    <t>385HR2050X</t>
  </si>
  <si>
    <t>Respite Care Facility</t>
  </si>
  <si>
    <t>Respite Care</t>
  </si>
  <si>
    <t>Respite Care Camp</t>
  </si>
  <si>
    <t>385HR2060X</t>
  </si>
  <si>
    <t>Respite Care, Intellectual and/or Developmental Disabilities, Child</t>
  </si>
  <si>
    <t>Child Intellectual and/or Developmental Disabilities Respite Care</t>
  </si>
  <si>
    <t>385HR2055X</t>
  </si>
  <si>
    <t>Respite Care, Mental Illness, Child</t>
  </si>
  <si>
    <t>Child Mental Illness Respite Care</t>
  </si>
  <si>
    <t>385HR2065X</t>
  </si>
  <si>
    <t>Respite Care, Physical Disabilities, Child</t>
  </si>
  <si>
    <t>Child Physical Disabilities Respite Care</t>
  </si>
  <si>
    <t>385H00000X</t>
  </si>
  <si>
    <t>331L00000X</t>
  </si>
  <si>
    <t>Suppliers</t>
  </si>
  <si>
    <t>Blood Bank</t>
  </si>
  <si>
    <t>Source: American Association of Blood Banks, Standards for Blood Banks and Tranfusion, 17th ed.</t>
  </si>
  <si>
    <t>332100000X</t>
  </si>
  <si>
    <t>Department of Veterans Affairs (VA) Pharmacy</t>
  </si>
  <si>
    <t>Source: Pharmacy Benefits Management - Strategic Healthcare Group, Veterans Health Administration, Department of Veterans Affairs [1/1/2006: new]</t>
  </si>
  <si>
    <t>332BC3200X</t>
  </si>
  <si>
    <t>Durable Medical Equipment &amp; Medical Supplies</t>
  </si>
  <si>
    <t>Customized Equipment</t>
  </si>
  <si>
    <t>Customized Equipment (DME)</t>
  </si>
  <si>
    <t>332BD1200X</t>
  </si>
  <si>
    <t>Dialysis Equipment &amp; Supplies</t>
  </si>
  <si>
    <t>Dialysis Equipment &amp; Supplies (DME)</t>
  </si>
  <si>
    <t>332BN1400X</t>
  </si>
  <si>
    <t>Nursing Facility Supplies</t>
  </si>
  <si>
    <t>Nursing Facility Supplies (DME)</t>
  </si>
  <si>
    <t>332BX2000X</t>
  </si>
  <si>
    <t>Oxygen Equipment &amp; Supplies</t>
  </si>
  <si>
    <t>Oxygen Equipment &amp; Supplies (DME)</t>
  </si>
  <si>
    <t>332BP3500X</t>
  </si>
  <si>
    <t>Parenteral &amp; Enteral Nutrition</t>
  </si>
  <si>
    <t>Parenteral &amp; Enteral Nutrition Supplies (DME)</t>
  </si>
  <si>
    <t>332B00000X</t>
  </si>
  <si>
    <t>333300000X</t>
  </si>
  <si>
    <t>Emergency Response System Companies</t>
  </si>
  <si>
    <t>Source: National Uniform Claim Committee, 2010 [7/1/2007: new, 7/1/2010: modified]</t>
  </si>
  <si>
    <t>332G00000X</t>
  </si>
  <si>
    <t>Eye Bank</t>
  </si>
  <si>
    <t>332H00000X</t>
  </si>
  <si>
    <t>Eyewear Supplier</t>
  </si>
  <si>
    <t>332S00000X</t>
  </si>
  <si>
    <t>Hearing Aid Equipment</t>
  </si>
  <si>
    <t>332U00000X</t>
  </si>
  <si>
    <t>Home Delivered Meals</t>
  </si>
  <si>
    <t>Source: Code of Federal Regulations #45, Part 96, Appendix A, Uniform Definition of Services.</t>
  </si>
  <si>
    <t>332800000X</t>
  </si>
  <si>
    <t>Indian Health Service/Tribal/Urban Indian Health (I/T/U) Pharmacy</t>
  </si>
  <si>
    <t>Source: The Medicare Prescription Drug, Improvement and Modernization Act of 2003 [1/1/2006: new]</t>
  </si>
  <si>
    <t>335G00000X</t>
  </si>
  <si>
    <t>Medical Foods Supplier</t>
  </si>
  <si>
    <t>Source: The Children with Special Healthcare Needs (CSHCN) Services Program, a program of the Texas Department of State Health Services [10/1/2011: new]</t>
  </si>
  <si>
    <t>332000000X</t>
  </si>
  <si>
    <t>Military/U.S. Coast Guard Pharmacy</t>
  </si>
  <si>
    <t>Source: TRICARE Management Activity Uniform Business Office User's Guide [1/1/2005: new; 7/1/2006: modified title, modified definition]</t>
  </si>
  <si>
    <t>332900000X</t>
  </si>
  <si>
    <t>Non-Pharmacy Dispensing Site</t>
  </si>
  <si>
    <t>Source: Developed by National Council for Prescription Drug Programs (NCPDP), National Home Infusion Association (NHIA), and Pharmacist Services Technical Advisory Coalition (PSTAC) [1/1/2006: new]</t>
  </si>
  <si>
    <t>335U00000X</t>
  </si>
  <si>
    <t>Organ Procurement Organization</t>
  </si>
  <si>
    <t>3336C0002X</t>
  </si>
  <si>
    <t>Pharmacy</t>
  </si>
  <si>
    <t>Clinic Pharmacy</t>
  </si>
  <si>
    <t>3336C0003X</t>
  </si>
  <si>
    <t>Community/Retail Pharmacy</t>
  </si>
  <si>
    <t>3336C0004X</t>
  </si>
  <si>
    <t>Compounding Pharmacy</t>
  </si>
  <si>
    <t>Sources: NABP Model Practice Act, Appendix C - Good Compounding Practice, USP &lt;795&gt; and &lt;797&gt;, and Pharmacy Compounding Accreditation Board [7/1/2006: new]</t>
  </si>
  <si>
    <t>3336H0001X</t>
  </si>
  <si>
    <t>Home Infusion Therapy Pharmacy</t>
  </si>
  <si>
    <t>Source: National Home Infusion Association [1/1/2006: new]</t>
  </si>
  <si>
    <t>3336I0012X</t>
  </si>
  <si>
    <t>Institutional Pharmacy</t>
  </si>
  <si>
    <t>3336L0003X</t>
  </si>
  <si>
    <t>Long Term Care Pharmacy</t>
  </si>
  <si>
    <t>Source: Developed by National Council for Prescription Drug Programs (NCPDP), National Home Infusion Association (NHIA), and Pharmacist Services Technical Advisory Coalition (PSTAC)</t>
  </si>
  <si>
    <t>3336M0002X</t>
  </si>
  <si>
    <t>Mail Order Pharmacy</t>
  </si>
  <si>
    <t>3336M0003X</t>
  </si>
  <si>
    <t>Managed Care Organization Pharmacy</t>
  </si>
  <si>
    <t>3336N0007X</t>
  </si>
  <si>
    <t>Nuclear Pharmacy</t>
  </si>
  <si>
    <t>3336S0011X</t>
  </si>
  <si>
    <t>Specialty Pharmacy</t>
  </si>
  <si>
    <t>333600000X</t>
  </si>
  <si>
    <t>Source: Developed by National Council for Prescription Drug Programs (NCPDP), National Home Infusion Association (NHIA), and Pharmacist Services Technical Advisory Coalition (PSTAC) [1/1/2006: added definition]</t>
  </si>
  <si>
    <t>335V00000X</t>
  </si>
  <si>
    <t>Portable X-ray and/or Other Portable Diagnostic Imaging Supplier</t>
  </si>
  <si>
    <t>Source: National Uniform Claim Committee, 2015 [1/1/2016: title and definition modified]</t>
  </si>
  <si>
    <t>335E00000X</t>
  </si>
  <si>
    <t>Prosthetic/Orthotic Supplier</t>
  </si>
  <si>
    <t>344800000X</t>
  </si>
  <si>
    <t>Transportation Services</t>
  </si>
  <si>
    <t>Air Carrier</t>
  </si>
  <si>
    <t>Source: Federal Aviation Administration [1/1/2010: new] Additional Resources: www.faa.gov/about/initiatives/atos/air_carrier/intro_to_part121_cert/</t>
  </si>
  <si>
    <t>3416A0800X</t>
  </si>
  <si>
    <t>Ambulance</t>
  </si>
  <si>
    <t>Air Transport</t>
  </si>
  <si>
    <t>Air Ambulance</t>
  </si>
  <si>
    <t>[1/1/2005: title modified]</t>
  </si>
  <si>
    <t>3416L0300X</t>
  </si>
  <si>
    <t>Land Transport</t>
  </si>
  <si>
    <t>Land Ambulance</t>
  </si>
  <si>
    <t>3416S0300X</t>
  </si>
  <si>
    <t>Water Transport</t>
  </si>
  <si>
    <t>Water Ambulance</t>
  </si>
  <si>
    <t>341600000X</t>
  </si>
  <si>
    <t>Source: Lexikon: Dictionary of Health Care Terms, Organizations and Acronyms for the Era of Reform, The Joint Commission on Accreditation of Healthcare Organizations, Oakbrook Terrace, Illinois: 1994, p. 37.</t>
  </si>
  <si>
    <t>347B00000X</t>
  </si>
  <si>
    <t>Bus</t>
  </si>
  <si>
    <t>3418M1120X</t>
  </si>
  <si>
    <t>Military/U.S. Coast Guard Transport</t>
  </si>
  <si>
    <t>Military or U.S. Coast Guard Ambulance, Air Transport</t>
  </si>
  <si>
    <t>Military or U.S. Coast Guard Air Transport Ambulance</t>
  </si>
  <si>
    <t>Source: TRICARE Management Activity Uniform Business Office User's Guide [1/1/2005: new; 7/1/2006 modified title, added source]</t>
  </si>
  <si>
    <t>3418M1110X</t>
  </si>
  <si>
    <t>Military or U.S. Coast Guard Ambulance, Ground Transport</t>
  </si>
  <si>
    <t>Military or U.S. Coast Guard Ground Transport Ambulance</t>
  </si>
  <si>
    <t>3418M1130X</t>
  </si>
  <si>
    <t>Military or U.S. Coast Guard Ambulance, Water Transport</t>
  </si>
  <si>
    <t>Military or U.S. Coast Guard Water Transport Ambulance</t>
  </si>
  <si>
    <t>341800000X</t>
  </si>
  <si>
    <t>Military/U.S. Coast Guard Transport,</t>
  </si>
  <si>
    <t>[1/1/2005: new; 7/1/2006 title modified]</t>
  </si>
  <si>
    <t>343900000X</t>
  </si>
  <si>
    <t>Non-emergency Medical Transport (VAN)</t>
  </si>
  <si>
    <t>347C00000X</t>
  </si>
  <si>
    <t>Private Vehicle</t>
  </si>
  <si>
    <t>343800000X</t>
  </si>
  <si>
    <t>Secured Medical Transport (VAN)</t>
  </si>
  <si>
    <t>344600000X</t>
  </si>
  <si>
    <t>Taxi</t>
  </si>
  <si>
    <t>347D00000X</t>
  </si>
  <si>
    <t>Train</t>
  </si>
  <si>
    <t>347E00000X</t>
  </si>
  <si>
    <t>Transportation Broker</t>
  </si>
  <si>
    <t>Source: Section 6083 of the Deficit Reduction Act of 2005 [1/1/2021: modified definition]</t>
  </si>
  <si>
    <t>342000000X</t>
  </si>
  <si>
    <t>Transportation Network Company</t>
  </si>
  <si>
    <t>Source: National Uniform Claim Committee, www.nucc.org [1/1/2021: new]</t>
  </si>
  <si>
    <t>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</si>
</sst>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1"/>
      <name val="Calibri"/>
      <family val="2"/>
      <scheme val="minor"/>
    </font>
    <font>
      <b/>
      <sz val="20"/>
      <color theme="1"/>
      <name val="Calibri"/>
      <scheme val="minor"/>
    </font>
    <font>
      <sz val="10"/>
      <color theme="1"/>
      <name val="Calibri"/>
      <family val="2"/>
      <scheme val="minor"/>
    </font>
    <font>
      <b/>
      <sz val="10"/>
      <color theme="1"/>
      <name val="Calibri"/>
      <scheme val="minor"/>
    </font>
    <font>
      <sz val="10"/>
      <color theme="1"/>
      <name val="Calibri"/>
      <scheme val="minor"/>
    </font>
    <font>
      <b/>
      <sz val="10"/>
      <color theme="1"/>
      <name val="Calibri"/>
      <family val="2"/>
      <scheme val="minor"/>
    </font>
    <font>
      <sz val="10"/>
      <color rgb="FFFF0000"/>
      <name val="Calibri"/>
      <scheme val="minor"/>
    </font>
    <font>
      <sz val="10"/>
      <color rgb="FFC00000"/>
      <name val="Calibri"/>
      <scheme val="minor"/>
    </font>
    <font>
      <sz val="10"/>
      <color rgb="FF00B050"/>
      <name val="Calibri"/>
      <scheme val="minor"/>
    </font>
    <font>
      <b/>
      <sz val="11"/>
      <color theme="1"/>
      <name val="Calibri"/>
      <scheme val="minor"/>
    </font>
    <font>
      <b/>
      <sz val="11"/>
      <color rgb="FF00B050"/>
      <name val="Calibri"/>
      <scheme val="minor"/>
    </font>
    <font>
      <sz val="10"/>
      <color rgb="FFFFC000"/>
      <name val="Calibri"/>
      <scheme val="minor"/>
    </font>
    <font>
      <sz val="10"/>
      <color rgb="FFC00000"/>
      <name val="Calibri"/>
      <family val="2"/>
      <scheme val="minor"/>
    </font>
    <font>
      <b/>
      <sz val="10"/>
      <color rgb="FF00B050"/>
      <name val="Calibri"/>
      <scheme val="minor"/>
    </font>
    <font>
      <b/>
      <sz val="11"/>
      <color rgb="FFFFC000"/>
      <name val="Calibri"/>
      <scheme val="minor"/>
    </font>
    <font>
      <b/>
      <sz val="11"/>
      <color rgb="FFFF0000"/>
      <name val="Calibri"/>
      <scheme val="minor"/>
    </font>
    <font>
      <b/>
      <sz val="10"/>
      <color rgb="FFFF0000"/>
      <name val="Calibri"/>
      <scheme val="minor"/>
    </font>
    <font>
      <sz val="10"/>
      <color rgb="FFFF0000"/>
      <name val="Calibri"/>
      <family val="2"/>
      <scheme val="minor"/>
    </font>
    <font>
      <b/>
      <sz val="11"/>
      <color rgb="FFC00000"/>
      <name val="Calibri"/>
      <scheme val="minor"/>
    </font>
    <font>
      <sz val="10"/>
      <color rgb="FF00B050"/>
      <name val="Calibri"/>
      <family val="2"/>
      <scheme val="minor"/>
    </font>
    <font>
      <sz val="10"/>
      <color rgb="FFFFC000"/>
      <name val="Calibri"/>
      <family val="2"/>
      <scheme val="minor"/>
    </font>
    <font>
      <sz val="10"/>
      <color theme="1"/>
      <name val="Calibri"/>
      <family val="2"/>
    </font>
    <font>
      <b/>
      <sz val="11"/>
      <color theme="1"/>
      <name val="Calibri"/>
      <family val="2"/>
    </font>
    <font>
      <b/>
      <sz val="11"/>
      <color rgb="FFFFC000"/>
      <name val="Calibri"/>
      <family val="2"/>
      <scheme val="minor"/>
    </font>
    <font>
      <b/>
      <sz val="11"/>
      <color rgb="FF00B050"/>
      <name val="Calibri"/>
      <family val="2"/>
      <scheme val="minor"/>
    </font>
    <font>
      <sz val="10"/>
      <color theme="1"/>
      <name val="Calibri Light"/>
      <scheme val="major"/>
    </font>
    <font>
      <sz val="10"/>
      <color theme="5" tint="-0.499984740745262"/>
      <name val="Calibri"/>
      <scheme val="minor"/>
    </font>
    <font>
      <sz val="11"/>
      <color theme="1"/>
      <name val="Calibri"/>
      <scheme val="minor"/>
    </font>
    <font>
      <sz val="10"/>
      <color rgb="FF000000"/>
      <name val="Calibri"/>
      <family val="2"/>
      <scheme val="minor"/>
    </font>
    <font>
      <sz val="10"/>
      <color theme="0"/>
      <name val="Calibri"/>
      <family val="2"/>
      <scheme val="minor"/>
    </font>
    <font>
      <sz val="10"/>
      <color theme="0"/>
      <name val="Calibri"/>
      <scheme val="minor"/>
    </font>
  </fonts>
  <fills count="21">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rgb="FF00B0F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9BABFA"/>
        <bgColor indexed="64"/>
      </patternFill>
    </fill>
    <fill>
      <patternFill patternType="solid">
        <fgColor rgb="FFBDF44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E5F18B"/>
        <bgColor indexed="64"/>
      </patternFill>
    </fill>
    <fill>
      <patternFill patternType="solid">
        <fgColor rgb="FFD9D9D9"/>
        <bgColor rgb="FF000000"/>
      </patternFill>
    </fill>
    <fill>
      <patternFill patternType="solid">
        <fgColor rgb="FFFFFF00"/>
        <bgColor indexed="64"/>
      </patternFill>
    </fill>
    <fill>
      <patternFill patternType="solid">
        <fgColor theme="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39997558519241921"/>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bottom/>
      <diagonal/>
    </border>
  </borders>
  <cellStyleXfs count="1">
    <xf numFmtId="0" fontId="0" fillId="0" borderId="0"/>
  </cellStyleXfs>
  <cellXfs count="995">
    <xf numFmtId="0" fontId="0" fillId="0" borderId="0" xfId="0"/>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3" fillId="2" borderId="0" xfId="0" applyFont="1" applyFill="1"/>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0" xfId="0" applyFont="1" applyFill="1" applyAlignment="1">
      <alignment horizontal="center" wrapText="1"/>
    </xf>
    <xf numFmtId="0" fontId="3" fillId="2" borderId="0" xfId="0" applyFont="1" applyFill="1" applyAlignment="1">
      <alignment wrapText="1"/>
    </xf>
    <xf numFmtId="0" fontId="0" fillId="0" borderId="0" xfId="0" applyAlignment="1">
      <alignment wrapText="1"/>
    </xf>
    <xf numFmtId="0" fontId="5" fillId="2" borderId="0" xfId="0" applyFont="1" applyFill="1" applyAlignment="1">
      <alignment wrapText="1"/>
    </xf>
    <xf numFmtId="49" fontId="3" fillId="2" borderId="9" xfId="0" applyNumberFormat="1" applyFont="1" applyFill="1" applyBorder="1" applyAlignment="1">
      <alignment wrapText="1"/>
    </xf>
    <xf numFmtId="49" fontId="3" fillId="2" borderId="10" xfId="0" applyNumberFormat="1" applyFont="1" applyFill="1" applyBorder="1" applyAlignment="1">
      <alignment wrapText="1"/>
    </xf>
    <xf numFmtId="49" fontId="5" fillId="2" borderId="11" xfId="0" applyNumberFormat="1" applyFont="1" applyFill="1" applyBorder="1" applyAlignment="1">
      <alignment wrapText="1"/>
    </xf>
    <xf numFmtId="49" fontId="3" fillId="2" borderId="12" xfId="0" applyNumberFormat="1" applyFont="1" applyFill="1" applyBorder="1" applyAlignment="1">
      <alignment wrapText="1"/>
    </xf>
    <xf numFmtId="49" fontId="3" fillId="2" borderId="10" xfId="0" quotePrefix="1" applyNumberFormat="1" applyFont="1" applyFill="1" applyBorder="1" applyAlignment="1">
      <alignment wrapText="1"/>
    </xf>
    <xf numFmtId="49" fontId="3" fillId="2" borderId="15" xfId="0" applyNumberFormat="1" applyFont="1" applyFill="1" applyBorder="1" applyAlignment="1">
      <alignment wrapText="1"/>
    </xf>
    <xf numFmtId="49" fontId="3" fillId="2" borderId="16" xfId="0" applyNumberFormat="1" applyFont="1" applyFill="1" applyBorder="1" applyAlignment="1">
      <alignment wrapText="1"/>
    </xf>
    <xf numFmtId="49" fontId="5" fillId="2" borderId="17" xfId="0" applyNumberFormat="1" applyFont="1" applyFill="1" applyBorder="1" applyAlignment="1">
      <alignment wrapText="1"/>
    </xf>
    <xf numFmtId="49" fontId="3" fillId="2" borderId="18" xfId="0" applyNumberFormat="1" applyFont="1" applyFill="1" applyBorder="1" applyAlignment="1">
      <alignment wrapText="1"/>
    </xf>
    <xf numFmtId="49" fontId="3" fillId="2" borderId="15" xfId="0" quotePrefix="1" applyNumberFormat="1" applyFont="1" applyFill="1" applyBorder="1" applyAlignment="1">
      <alignment wrapText="1"/>
    </xf>
    <xf numFmtId="49" fontId="3" fillId="3" borderId="15" xfId="0" applyNumberFormat="1" applyFont="1" applyFill="1" applyBorder="1" applyAlignment="1">
      <alignment wrapText="1"/>
    </xf>
    <xf numFmtId="49" fontId="3" fillId="3" borderId="16" xfId="0" applyNumberFormat="1" applyFont="1" applyFill="1" applyBorder="1" applyAlignment="1">
      <alignment wrapText="1"/>
    </xf>
    <xf numFmtId="49" fontId="5" fillId="3" borderId="17" xfId="0" applyNumberFormat="1" applyFont="1" applyFill="1" applyBorder="1" applyAlignment="1">
      <alignment wrapText="1"/>
    </xf>
    <xf numFmtId="49" fontId="3" fillId="3" borderId="18" xfId="0" applyNumberFormat="1" applyFont="1" applyFill="1" applyBorder="1" applyAlignment="1">
      <alignment wrapText="1"/>
    </xf>
    <xf numFmtId="49" fontId="10" fillId="3" borderId="15" xfId="0" applyNumberFormat="1" applyFont="1" applyFill="1" applyBorder="1" applyAlignment="1">
      <alignment wrapText="1"/>
    </xf>
    <xf numFmtId="49" fontId="10" fillId="3" borderId="16" xfId="0" applyNumberFormat="1" applyFont="1" applyFill="1" applyBorder="1" applyAlignment="1">
      <alignment wrapText="1"/>
    </xf>
    <xf numFmtId="49" fontId="10" fillId="3" borderId="17" xfId="0" applyNumberFormat="1" applyFont="1" applyFill="1" applyBorder="1" applyAlignment="1">
      <alignment wrapText="1"/>
    </xf>
    <xf numFmtId="49" fontId="10" fillId="3" borderId="18" xfId="0" applyNumberFormat="1" applyFont="1" applyFill="1" applyBorder="1" applyAlignment="1">
      <alignment wrapText="1"/>
    </xf>
    <xf numFmtId="0" fontId="10" fillId="3" borderId="15" xfId="0" applyFont="1" applyFill="1" applyBorder="1" applyAlignment="1">
      <alignment wrapText="1"/>
    </xf>
    <xf numFmtId="49" fontId="3" fillId="4" borderId="15" xfId="0" applyNumberFormat="1" applyFont="1" applyFill="1" applyBorder="1" applyAlignment="1">
      <alignment wrapText="1"/>
    </xf>
    <xf numFmtId="49" fontId="3" fillId="4" borderId="16" xfId="0" applyNumberFormat="1" applyFont="1" applyFill="1" applyBorder="1" applyAlignment="1">
      <alignment wrapText="1"/>
    </xf>
    <xf numFmtId="49" fontId="5" fillId="4" borderId="17" xfId="0" applyNumberFormat="1" applyFont="1" applyFill="1" applyBorder="1" applyAlignment="1">
      <alignment wrapText="1"/>
    </xf>
    <xf numFmtId="49" fontId="3" fillId="4" borderId="18" xfId="0" applyNumberFormat="1" applyFont="1" applyFill="1" applyBorder="1" applyAlignment="1">
      <alignment wrapText="1"/>
    </xf>
    <xf numFmtId="0" fontId="3" fillId="4" borderId="15" xfId="0" applyFont="1" applyFill="1" applyBorder="1" applyAlignment="1">
      <alignment wrapText="1"/>
    </xf>
    <xf numFmtId="49" fontId="3" fillId="5" borderId="15" xfId="0" applyNumberFormat="1" applyFont="1" applyFill="1" applyBorder="1" applyAlignment="1">
      <alignment wrapText="1"/>
    </xf>
    <xf numFmtId="49" fontId="3" fillId="5" borderId="16" xfId="0" applyNumberFormat="1" applyFont="1" applyFill="1" applyBorder="1" applyAlignment="1">
      <alignment wrapText="1"/>
    </xf>
    <xf numFmtId="49" fontId="5" fillId="5" borderId="17" xfId="0" applyNumberFormat="1" applyFont="1" applyFill="1" applyBorder="1" applyAlignment="1">
      <alignment wrapText="1"/>
    </xf>
    <xf numFmtId="49" fontId="3" fillId="5" borderId="18" xfId="0" applyNumberFormat="1" applyFont="1" applyFill="1" applyBorder="1" applyAlignment="1">
      <alignment wrapText="1"/>
    </xf>
    <xf numFmtId="49" fontId="10" fillId="5" borderId="15" xfId="0" applyNumberFormat="1" applyFont="1" applyFill="1" applyBorder="1" applyAlignment="1">
      <alignment wrapText="1"/>
    </xf>
    <xf numFmtId="49" fontId="10" fillId="5" borderId="16" xfId="0" applyNumberFormat="1" applyFont="1" applyFill="1" applyBorder="1" applyAlignment="1">
      <alignment wrapText="1"/>
    </xf>
    <xf numFmtId="49" fontId="10" fillId="5" borderId="17" xfId="0" applyNumberFormat="1" applyFont="1" applyFill="1" applyBorder="1" applyAlignment="1">
      <alignment wrapText="1"/>
    </xf>
    <xf numFmtId="49" fontId="10" fillId="5" borderId="18" xfId="0" applyNumberFormat="1" applyFont="1" applyFill="1" applyBorder="1" applyAlignment="1">
      <alignment wrapText="1"/>
    </xf>
    <xf numFmtId="49" fontId="10" fillId="6" borderId="15" xfId="0" applyNumberFormat="1" applyFont="1" applyFill="1" applyBorder="1" applyAlignment="1">
      <alignment wrapText="1"/>
    </xf>
    <xf numFmtId="49" fontId="10" fillId="6" borderId="16" xfId="0" applyNumberFormat="1" applyFont="1" applyFill="1" applyBorder="1" applyAlignment="1">
      <alignment wrapText="1"/>
    </xf>
    <xf numFmtId="49" fontId="10" fillId="6" borderId="17" xfId="0" applyNumberFormat="1" applyFont="1" applyFill="1" applyBorder="1" applyAlignment="1">
      <alignment wrapText="1"/>
    </xf>
    <xf numFmtId="49" fontId="10" fillId="6" borderId="18" xfId="0" applyNumberFormat="1" applyFont="1" applyFill="1" applyBorder="1" applyAlignment="1">
      <alignment wrapText="1"/>
    </xf>
    <xf numFmtId="49" fontId="3" fillId="7" borderId="15" xfId="0" applyNumberFormat="1" applyFont="1" applyFill="1" applyBorder="1" applyAlignment="1">
      <alignment wrapText="1"/>
    </xf>
    <xf numFmtId="49" fontId="3" fillId="7" borderId="16" xfId="0" applyNumberFormat="1" applyFont="1" applyFill="1" applyBorder="1" applyAlignment="1">
      <alignment wrapText="1"/>
    </xf>
    <xf numFmtId="49" fontId="5" fillId="7" borderId="17" xfId="0" applyNumberFormat="1" applyFont="1" applyFill="1" applyBorder="1" applyAlignment="1">
      <alignment wrapText="1"/>
    </xf>
    <xf numFmtId="49" fontId="3" fillId="7" borderId="18" xfId="0" applyNumberFormat="1" applyFont="1" applyFill="1" applyBorder="1" applyAlignment="1">
      <alignment wrapText="1"/>
    </xf>
    <xf numFmtId="49" fontId="3" fillId="7" borderId="15" xfId="0" quotePrefix="1" applyNumberFormat="1" applyFont="1" applyFill="1" applyBorder="1" applyAlignment="1">
      <alignment wrapText="1"/>
    </xf>
    <xf numFmtId="49" fontId="10" fillId="8" borderId="15" xfId="0" applyNumberFormat="1" applyFont="1" applyFill="1" applyBorder="1" applyAlignment="1">
      <alignment wrapText="1"/>
    </xf>
    <xf numFmtId="49" fontId="10" fillId="8" borderId="16" xfId="0" applyNumberFormat="1" applyFont="1" applyFill="1" applyBorder="1" applyAlignment="1">
      <alignment wrapText="1"/>
    </xf>
    <xf numFmtId="49" fontId="10" fillId="8" borderId="17" xfId="0" applyNumberFormat="1" applyFont="1" applyFill="1" applyBorder="1" applyAlignment="1">
      <alignment wrapText="1"/>
    </xf>
    <xf numFmtId="49" fontId="10" fillId="8" borderId="18" xfId="0" applyNumberFormat="1" applyFont="1" applyFill="1" applyBorder="1" applyAlignment="1">
      <alignment wrapText="1"/>
    </xf>
    <xf numFmtId="49" fontId="10" fillId="9" borderId="15" xfId="0" applyNumberFormat="1" applyFont="1" applyFill="1" applyBorder="1" applyAlignment="1">
      <alignment wrapText="1"/>
    </xf>
    <xf numFmtId="49" fontId="10" fillId="9" borderId="16" xfId="0" applyNumberFormat="1" applyFont="1" applyFill="1" applyBorder="1" applyAlignment="1">
      <alignment wrapText="1"/>
    </xf>
    <xf numFmtId="49" fontId="10" fillId="9" borderId="17" xfId="0" applyNumberFormat="1" applyFont="1" applyFill="1" applyBorder="1" applyAlignment="1">
      <alignment wrapText="1"/>
    </xf>
    <xf numFmtId="49" fontId="10" fillId="9" borderId="18" xfId="0" applyNumberFormat="1" applyFont="1" applyFill="1" applyBorder="1" applyAlignment="1">
      <alignment wrapText="1"/>
    </xf>
    <xf numFmtId="49" fontId="10" fillId="10" borderId="15" xfId="0" applyNumberFormat="1" applyFont="1" applyFill="1" applyBorder="1" applyAlignment="1">
      <alignment wrapText="1"/>
    </xf>
    <xf numFmtId="49" fontId="10" fillId="10" borderId="16" xfId="0" applyNumberFormat="1" applyFont="1" applyFill="1" applyBorder="1" applyAlignment="1">
      <alignment wrapText="1"/>
    </xf>
    <xf numFmtId="49" fontId="10" fillId="10" borderId="17" xfId="0" applyNumberFormat="1" applyFont="1" applyFill="1" applyBorder="1" applyAlignment="1">
      <alignment wrapText="1"/>
    </xf>
    <xf numFmtId="49" fontId="10" fillId="10" borderId="18" xfId="0" applyNumberFormat="1" applyFont="1" applyFill="1" applyBorder="1" applyAlignment="1">
      <alignment wrapText="1"/>
    </xf>
    <xf numFmtId="49" fontId="5" fillId="3" borderId="15" xfId="0" applyNumberFormat="1" applyFont="1" applyFill="1" applyBorder="1" applyAlignment="1">
      <alignment wrapText="1"/>
    </xf>
    <xf numFmtId="49" fontId="5" fillId="3" borderId="16" xfId="0" applyNumberFormat="1" applyFont="1" applyFill="1" applyBorder="1" applyAlignment="1">
      <alignment wrapText="1"/>
    </xf>
    <xf numFmtId="49" fontId="5" fillId="3" borderId="18" xfId="0" applyNumberFormat="1" applyFont="1" applyFill="1" applyBorder="1" applyAlignment="1">
      <alignment wrapText="1"/>
    </xf>
    <xf numFmtId="49" fontId="5" fillId="3" borderId="16" xfId="0" quotePrefix="1" applyNumberFormat="1" applyFont="1" applyFill="1" applyBorder="1" applyAlignment="1">
      <alignment wrapText="1"/>
    </xf>
    <xf numFmtId="49" fontId="10" fillId="3" borderId="16" xfId="0" quotePrefix="1" applyNumberFormat="1" applyFont="1" applyFill="1" applyBorder="1" applyAlignment="1">
      <alignment wrapText="1"/>
    </xf>
    <xf numFmtId="49" fontId="3" fillId="2" borderId="16" xfId="0" quotePrefix="1" applyNumberFormat="1" applyFont="1" applyFill="1" applyBorder="1" applyAlignment="1">
      <alignment wrapText="1"/>
    </xf>
    <xf numFmtId="49" fontId="3" fillId="3" borderId="15" xfId="0" quotePrefix="1" applyNumberFormat="1" applyFont="1" applyFill="1" applyBorder="1" applyAlignment="1">
      <alignment wrapText="1"/>
    </xf>
    <xf numFmtId="49" fontId="3" fillId="3" borderId="16" xfId="0" quotePrefix="1" applyNumberFormat="1" applyFont="1" applyFill="1" applyBorder="1" applyAlignment="1">
      <alignment wrapText="1"/>
    </xf>
    <xf numFmtId="49" fontId="10" fillId="3" borderId="15" xfId="0" quotePrefix="1" applyNumberFormat="1" applyFont="1" applyFill="1" applyBorder="1" applyAlignment="1">
      <alignment wrapText="1"/>
    </xf>
    <xf numFmtId="49" fontId="3" fillId="4" borderId="15" xfId="0" quotePrefix="1" applyNumberFormat="1" applyFont="1" applyFill="1" applyBorder="1" applyAlignment="1">
      <alignment wrapText="1"/>
    </xf>
    <xf numFmtId="49" fontId="3" fillId="8" borderId="15" xfId="0" applyNumberFormat="1" applyFont="1" applyFill="1" applyBorder="1" applyAlignment="1">
      <alignment wrapText="1"/>
    </xf>
    <xf numFmtId="49" fontId="3" fillId="8" borderId="16" xfId="0" applyNumberFormat="1" applyFont="1" applyFill="1" applyBorder="1" applyAlignment="1">
      <alignment wrapText="1"/>
    </xf>
    <xf numFmtId="49" fontId="5" fillId="8" borderId="17" xfId="0" applyNumberFormat="1" applyFont="1" applyFill="1" applyBorder="1" applyAlignment="1">
      <alignment wrapText="1"/>
    </xf>
    <xf numFmtId="49" fontId="3" fillId="8" borderId="18" xfId="0" applyNumberFormat="1" applyFont="1" applyFill="1" applyBorder="1" applyAlignment="1">
      <alignment wrapText="1"/>
    </xf>
    <xf numFmtId="49" fontId="3" fillId="8" borderId="15" xfId="0" quotePrefix="1" applyNumberFormat="1" applyFont="1" applyFill="1" applyBorder="1" applyAlignment="1">
      <alignment wrapText="1"/>
    </xf>
    <xf numFmtId="49" fontId="10" fillId="8" borderId="15" xfId="0" quotePrefix="1" applyNumberFormat="1" applyFont="1" applyFill="1" applyBorder="1" applyAlignment="1">
      <alignment wrapText="1"/>
    </xf>
    <xf numFmtId="49" fontId="3" fillId="7" borderId="16" xfId="0" quotePrefix="1" applyNumberFormat="1" applyFont="1" applyFill="1" applyBorder="1" applyAlignment="1">
      <alignment wrapText="1"/>
    </xf>
    <xf numFmtId="49" fontId="5" fillId="8" borderId="18" xfId="0" applyNumberFormat="1" applyFont="1" applyFill="1" applyBorder="1" applyAlignment="1">
      <alignment wrapText="1"/>
    </xf>
    <xf numFmtId="49" fontId="10" fillId="10" borderId="15" xfId="0" quotePrefix="1" applyNumberFormat="1" applyFont="1" applyFill="1" applyBorder="1" applyAlignment="1">
      <alignment wrapText="1"/>
    </xf>
    <xf numFmtId="49" fontId="10" fillId="6" borderId="15" xfId="0" quotePrefix="1" applyNumberFormat="1" applyFont="1" applyFill="1" applyBorder="1" applyAlignment="1">
      <alignment wrapText="1"/>
    </xf>
    <xf numFmtId="49" fontId="10" fillId="3" borderId="21" xfId="0" applyNumberFormat="1" applyFont="1" applyFill="1" applyBorder="1" applyAlignment="1">
      <alignment wrapText="1"/>
    </xf>
    <xf numFmtId="49" fontId="10" fillId="3" borderId="22" xfId="0" applyNumberFormat="1" applyFont="1" applyFill="1" applyBorder="1" applyAlignment="1">
      <alignment wrapText="1"/>
    </xf>
    <xf numFmtId="49" fontId="10" fillId="3" borderId="23" xfId="0" applyNumberFormat="1" applyFont="1" applyFill="1" applyBorder="1" applyAlignment="1">
      <alignment wrapText="1"/>
    </xf>
    <xf numFmtId="49" fontId="10" fillId="3" borderId="24" xfId="0" applyNumberFormat="1" applyFont="1" applyFill="1" applyBorder="1" applyAlignment="1">
      <alignment wrapText="1"/>
    </xf>
    <xf numFmtId="49" fontId="10" fillId="3" borderId="21" xfId="0" quotePrefix="1" applyNumberFormat="1" applyFont="1" applyFill="1" applyBorder="1" applyAlignment="1">
      <alignment wrapText="1"/>
    </xf>
    <xf numFmtId="49" fontId="5" fillId="11" borderId="21" xfId="0" applyNumberFormat="1" applyFont="1" applyFill="1" applyBorder="1" applyAlignment="1">
      <alignment wrapText="1"/>
    </xf>
    <xf numFmtId="49" fontId="5" fillId="11" borderId="22" xfId="0" applyNumberFormat="1" applyFont="1" applyFill="1" applyBorder="1" applyAlignment="1">
      <alignment wrapText="1"/>
    </xf>
    <xf numFmtId="49" fontId="5" fillId="11" borderId="23" xfId="0" applyNumberFormat="1" applyFont="1" applyFill="1" applyBorder="1" applyAlignment="1">
      <alignment wrapText="1"/>
    </xf>
    <xf numFmtId="49" fontId="5" fillId="11" borderId="24" xfId="0" applyNumberFormat="1" applyFont="1" applyFill="1" applyBorder="1" applyAlignment="1">
      <alignment wrapText="1"/>
    </xf>
    <xf numFmtId="49" fontId="5" fillId="11" borderId="21" xfId="0" quotePrefix="1" applyNumberFormat="1" applyFont="1" applyFill="1" applyBorder="1" applyAlignment="1">
      <alignment wrapText="1"/>
    </xf>
    <xf numFmtId="49" fontId="5" fillId="11" borderId="27" xfId="0" applyNumberFormat="1" applyFont="1" applyFill="1" applyBorder="1" applyAlignment="1">
      <alignment wrapText="1"/>
    </xf>
    <xf numFmtId="49" fontId="5" fillId="11" borderId="28" xfId="0" applyNumberFormat="1" applyFont="1" applyFill="1" applyBorder="1" applyAlignment="1">
      <alignment wrapText="1"/>
    </xf>
    <xf numFmtId="49" fontId="5" fillId="11" borderId="29" xfId="0" applyNumberFormat="1" applyFont="1" applyFill="1" applyBorder="1" applyAlignment="1">
      <alignment wrapText="1"/>
    </xf>
    <xf numFmtId="49" fontId="5" fillId="11" borderId="30" xfId="0" applyNumberFormat="1" applyFont="1" applyFill="1" applyBorder="1" applyAlignment="1">
      <alignment wrapText="1"/>
    </xf>
    <xf numFmtId="49" fontId="5" fillId="11" borderId="27" xfId="0" quotePrefix="1" applyNumberFormat="1" applyFont="1" applyFill="1" applyBorder="1" applyAlignment="1">
      <alignment wrapText="1"/>
    </xf>
    <xf numFmtId="49" fontId="3" fillId="4" borderId="33" xfId="0" applyNumberFormat="1" applyFont="1" applyFill="1" applyBorder="1" applyAlignment="1">
      <alignment wrapText="1"/>
    </xf>
    <xf numFmtId="49" fontId="3" fillId="4" borderId="34" xfId="0" applyNumberFormat="1" applyFont="1" applyFill="1" applyBorder="1" applyAlignment="1">
      <alignment wrapText="1"/>
    </xf>
    <xf numFmtId="49" fontId="5" fillId="4" borderId="35" xfId="0" applyNumberFormat="1" applyFont="1" applyFill="1" applyBorder="1" applyAlignment="1">
      <alignment wrapText="1"/>
    </xf>
    <xf numFmtId="49" fontId="3" fillId="4" borderId="36" xfId="0" applyNumberFormat="1" applyFont="1" applyFill="1" applyBorder="1" applyAlignment="1">
      <alignment wrapText="1"/>
    </xf>
    <xf numFmtId="0" fontId="3" fillId="4" borderId="16" xfId="0" applyFont="1" applyFill="1" applyBorder="1" applyAlignment="1">
      <alignment wrapText="1"/>
    </xf>
    <xf numFmtId="49" fontId="21" fillId="2" borderId="15" xfId="0" applyNumberFormat="1" applyFont="1" applyFill="1" applyBorder="1" applyAlignment="1">
      <alignment wrapText="1"/>
    </xf>
    <xf numFmtId="49" fontId="21" fillId="2" borderId="16" xfId="0" applyNumberFormat="1" applyFont="1" applyFill="1" applyBorder="1" applyAlignment="1">
      <alignment wrapText="1"/>
    </xf>
    <xf numFmtId="49" fontId="12" fillId="2" borderId="17" xfId="0" applyNumberFormat="1" applyFont="1" applyFill="1" applyBorder="1" applyAlignment="1">
      <alignment wrapText="1"/>
    </xf>
    <xf numFmtId="49" fontId="21" fillId="2" borderId="18" xfId="0" applyNumberFormat="1" applyFont="1" applyFill="1" applyBorder="1" applyAlignment="1">
      <alignment wrapText="1"/>
    </xf>
    <xf numFmtId="49" fontId="3" fillId="11" borderId="15" xfId="0" applyNumberFormat="1" applyFont="1" applyFill="1" applyBorder="1" applyAlignment="1">
      <alignment wrapText="1"/>
    </xf>
    <xf numFmtId="49" fontId="3" fillId="11" borderId="16" xfId="0" applyNumberFormat="1" applyFont="1" applyFill="1" applyBorder="1" applyAlignment="1">
      <alignment wrapText="1"/>
    </xf>
    <xf numFmtId="49" fontId="5" fillId="11" borderId="17" xfId="0" applyNumberFormat="1" applyFont="1" applyFill="1" applyBorder="1" applyAlignment="1">
      <alignment wrapText="1"/>
    </xf>
    <xf numFmtId="49" fontId="3" fillId="11" borderId="18" xfId="0" applyNumberFormat="1" applyFont="1" applyFill="1" applyBorder="1" applyAlignment="1">
      <alignment wrapText="1"/>
    </xf>
    <xf numFmtId="49" fontId="3" fillId="11" borderId="17" xfId="0" applyNumberFormat="1" applyFont="1" applyFill="1" applyBorder="1" applyAlignment="1">
      <alignment wrapText="1"/>
    </xf>
    <xf numFmtId="0" fontId="10" fillId="3" borderId="16" xfId="0" applyFont="1" applyFill="1" applyBorder="1" applyAlignment="1">
      <alignment wrapText="1"/>
    </xf>
    <xf numFmtId="49" fontId="4" fillId="5" borderId="15" xfId="0" applyNumberFormat="1" applyFont="1" applyFill="1" applyBorder="1" applyAlignment="1">
      <alignment wrapText="1"/>
    </xf>
    <xf numFmtId="49" fontId="4" fillId="5" borderId="16" xfId="0" applyNumberFormat="1" applyFont="1" applyFill="1" applyBorder="1" applyAlignment="1">
      <alignment wrapText="1"/>
    </xf>
    <xf numFmtId="49" fontId="5" fillId="11" borderId="15" xfId="0" applyNumberFormat="1" applyFont="1" applyFill="1" applyBorder="1" applyAlignment="1">
      <alignment wrapText="1"/>
    </xf>
    <xf numFmtId="49" fontId="5" fillId="11" borderId="16" xfId="0" applyNumberFormat="1" applyFont="1" applyFill="1" applyBorder="1" applyAlignment="1">
      <alignment wrapText="1"/>
    </xf>
    <xf numFmtId="49" fontId="3" fillId="11" borderId="21" xfId="0" applyNumberFormat="1" applyFont="1" applyFill="1" applyBorder="1" applyAlignment="1">
      <alignment wrapText="1"/>
    </xf>
    <xf numFmtId="49" fontId="3" fillId="11" borderId="22" xfId="0" applyNumberFormat="1" applyFont="1" applyFill="1" applyBorder="1" applyAlignment="1">
      <alignment wrapText="1"/>
    </xf>
    <xf numFmtId="0" fontId="22" fillId="2" borderId="10" xfId="0" applyFont="1" applyFill="1" applyBorder="1" applyAlignment="1">
      <alignment wrapText="1"/>
    </xf>
    <xf numFmtId="0" fontId="22" fillId="2" borderId="16" xfId="0" applyFont="1" applyFill="1" applyBorder="1" applyAlignment="1">
      <alignment wrapText="1"/>
    </xf>
    <xf numFmtId="0" fontId="22" fillId="11" borderId="22" xfId="0" applyFont="1" applyFill="1" applyBorder="1" applyAlignment="1">
      <alignment wrapText="1"/>
    </xf>
    <xf numFmtId="49" fontId="1" fillId="3" borderId="27" xfId="0" applyNumberFormat="1" applyFont="1" applyFill="1" applyBorder="1" applyAlignment="1">
      <alignment wrapText="1"/>
    </xf>
    <xf numFmtId="49" fontId="1" fillId="3" borderId="28" xfId="0" applyNumberFormat="1" applyFont="1" applyFill="1" applyBorder="1" applyAlignment="1">
      <alignment wrapText="1"/>
    </xf>
    <xf numFmtId="49" fontId="10" fillId="3" borderId="29" xfId="0" applyNumberFormat="1" applyFont="1" applyFill="1" applyBorder="1" applyAlignment="1">
      <alignment wrapText="1"/>
    </xf>
    <xf numFmtId="49" fontId="1" fillId="3" borderId="30" xfId="0" applyNumberFormat="1" applyFont="1" applyFill="1" applyBorder="1" applyAlignment="1">
      <alignment wrapText="1"/>
    </xf>
    <xf numFmtId="0" fontId="23" fillId="3" borderId="28" xfId="0" applyFont="1" applyFill="1" applyBorder="1" applyAlignment="1">
      <alignment wrapText="1"/>
    </xf>
    <xf numFmtId="0" fontId="22" fillId="4" borderId="34" xfId="0" applyFont="1" applyFill="1" applyBorder="1" applyAlignment="1">
      <alignment wrapText="1"/>
    </xf>
    <xf numFmtId="49" fontId="1" fillId="5" borderId="15" xfId="0" applyNumberFormat="1" applyFont="1" applyFill="1" applyBorder="1" applyAlignment="1">
      <alignment wrapText="1"/>
    </xf>
    <xf numFmtId="49" fontId="1" fillId="5" borderId="16" xfId="0" applyNumberFormat="1" applyFont="1" applyFill="1" applyBorder="1" applyAlignment="1">
      <alignment wrapText="1"/>
    </xf>
    <xf numFmtId="49" fontId="1" fillId="5" borderId="18" xfId="0" applyNumberFormat="1" applyFont="1" applyFill="1" applyBorder="1" applyAlignment="1">
      <alignment wrapText="1"/>
    </xf>
    <xf numFmtId="0" fontId="23" fillId="5" borderId="16" xfId="0" applyFont="1" applyFill="1" applyBorder="1" applyAlignment="1">
      <alignment wrapText="1"/>
    </xf>
    <xf numFmtId="0" fontId="22" fillId="4" borderId="16" xfId="0" applyFont="1" applyFill="1" applyBorder="1" applyAlignment="1">
      <alignment wrapText="1"/>
    </xf>
    <xf numFmtId="0" fontId="26" fillId="2" borderId="16" xfId="0" applyFont="1" applyFill="1" applyBorder="1" applyAlignment="1">
      <alignment wrapText="1"/>
    </xf>
    <xf numFmtId="49" fontId="26" fillId="2" borderId="16" xfId="0" applyNumberFormat="1" applyFont="1" applyFill="1" applyBorder="1" applyAlignment="1">
      <alignment wrapText="1"/>
    </xf>
    <xf numFmtId="0" fontId="3" fillId="3" borderId="16" xfId="0" applyFont="1" applyFill="1" applyBorder="1" applyAlignment="1">
      <alignment wrapText="1"/>
    </xf>
    <xf numFmtId="49" fontId="3" fillId="11" borderId="15" xfId="0" quotePrefix="1" applyNumberFormat="1" applyFont="1" applyFill="1" applyBorder="1" applyAlignment="1">
      <alignment wrapText="1"/>
    </xf>
    <xf numFmtId="0" fontId="3" fillId="11" borderId="16" xfId="0" applyFont="1" applyFill="1" applyBorder="1" applyAlignment="1">
      <alignment wrapText="1"/>
    </xf>
    <xf numFmtId="49" fontId="3" fillId="4" borderId="21" xfId="0" applyNumberFormat="1" applyFont="1" applyFill="1" applyBorder="1" applyAlignment="1">
      <alignment wrapText="1"/>
    </xf>
    <xf numFmtId="49" fontId="3" fillId="4" borderId="22" xfId="0" applyNumberFormat="1" applyFont="1" applyFill="1" applyBorder="1" applyAlignment="1">
      <alignment wrapText="1"/>
    </xf>
    <xf numFmtId="49" fontId="5" fillId="4" borderId="23" xfId="0" applyNumberFormat="1" applyFont="1" applyFill="1" applyBorder="1" applyAlignment="1">
      <alignment wrapText="1"/>
    </xf>
    <xf numFmtId="49" fontId="3" fillId="4" borderId="24" xfId="0" applyNumberFormat="1" applyFont="1" applyFill="1" applyBorder="1" applyAlignment="1">
      <alignment wrapText="1"/>
    </xf>
    <xf numFmtId="49" fontId="3" fillId="4" borderId="9" xfId="0" applyNumberFormat="1" applyFont="1" applyFill="1" applyBorder="1" applyAlignment="1">
      <alignment wrapText="1"/>
    </xf>
    <xf numFmtId="49" fontId="3" fillId="4" borderId="10" xfId="0" applyNumberFormat="1" applyFont="1" applyFill="1" applyBorder="1" applyAlignment="1">
      <alignment wrapText="1"/>
    </xf>
    <xf numFmtId="49" fontId="5" fillId="4" borderId="11" xfId="0" applyNumberFormat="1" applyFont="1" applyFill="1" applyBorder="1" applyAlignment="1">
      <alignment wrapText="1"/>
    </xf>
    <xf numFmtId="49" fontId="3" fillId="4" borderId="12" xfId="0" applyNumberFormat="1" applyFont="1" applyFill="1" applyBorder="1" applyAlignment="1">
      <alignment wrapText="1"/>
    </xf>
    <xf numFmtId="49" fontId="10" fillId="3" borderId="27" xfId="0" applyNumberFormat="1" applyFont="1" applyFill="1" applyBorder="1" applyAlignment="1">
      <alignment wrapText="1"/>
    </xf>
    <xf numFmtId="49" fontId="10" fillId="3" borderId="28" xfId="0" applyNumberFormat="1" applyFont="1" applyFill="1" applyBorder="1" applyAlignment="1">
      <alignment wrapText="1"/>
    </xf>
    <xf numFmtId="49" fontId="10" fillId="3" borderId="30" xfId="0" applyNumberFormat="1" applyFont="1" applyFill="1" applyBorder="1" applyAlignment="1">
      <alignment wrapText="1"/>
    </xf>
    <xf numFmtId="49" fontId="3" fillId="4" borderId="33" xfId="0" quotePrefix="1" applyNumberFormat="1" applyFont="1" applyFill="1" applyBorder="1" applyAlignment="1">
      <alignment wrapText="1"/>
    </xf>
    <xf numFmtId="49" fontId="10" fillId="5" borderId="15" xfId="0" quotePrefix="1" applyNumberFormat="1" applyFont="1" applyFill="1" applyBorder="1" applyAlignment="1">
      <alignment wrapText="1"/>
    </xf>
    <xf numFmtId="49" fontId="3" fillId="12" borderId="27" xfId="0" applyNumberFormat="1" applyFont="1" applyFill="1" applyBorder="1" applyAlignment="1">
      <alignment wrapText="1"/>
    </xf>
    <xf numFmtId="49" fontId="3" fillId="12" borderId="28" xfId="0" applyNumberFormat="1" applyFont="1" applyFill="1" applyBorder="1" applyAlignment="1">
      <alignment wrapText="1"/>
    </xf>
    <xf numFmtId="49" fontId="5" fillId="12" borderId="29" xfId="0" applyNumberFormat="1" applyFont="1" applyFill="1" applyBorder="1" applyAlignment="1">
      <alignment wrapText="1"/>
    </xf>
    <xf numFmtId="49" fontId="3" fillId="12" borderId="30" xfId="0" applyNumberFormat="1" applyFont="1" applyFill="1" applyBorder="1" applyAlignment="1">
      <alignment wrapText="1"/>
    </xf>
    <xf numFmtId="49" fontId="10" fillId="5" borderId="33" xfId="0" applyNumberFormat="1" applyFont="1" applyFill="1" applyBorder="1" applyAlignment="1">
      <alignment wrapText="1"/>
    </xf>
    <xf numFmtId="49" fontId="10" fillId="5" borderId="34" xfId="0" applyNumberFormat="1" applyFont="1" applyFill="1" applyBorder="1" applyAlignment="1">
      <alignment wrapText="1"/>
    </xf>
    <xf numFmtId="49" fontId="10" fillId="5" borderId="35" xfId="0" applyNumberFormat="1" applyFont="1" applyFill="1" applyBorder="1" applyAlignment="1">
      <alignment wrapText="1"/>
    </xf>
    <xf numFmtId="49" fontId="10" fillId="5" borderId="36" xfId="0" applyNumberFormat="1" applyFont="1" applyFill="1" applyBorder="1" applyAlignment="1">
      <alignment wrapText="1"/>
    </xf>
    <xf numFmtId="49" fontId="5" fillId="5" borderId="15" xfId="0" applyNumberFormat="1" applyFont="1" applyFill="1" applyBorder="1" applyAlignment="1">
      <alignment wrapText="1"/>
    </xf>
    <xf numFmtId="49" fontId="5" fillId="5" borderId="16" xfId="0" applyNumberFormat="1" applyFont="1" applyFill="1" applyBorder="1" applyAlignment="1">
      <alignment wrapText="1"/>
    </xf>
    <xf numFmtId="49" fontId="5" fillId="5" borderId="18" xfId="0" applyNumberFormat="1" applyFont="1" applyFill="1" applyBorder="1" applyAlignment="1">
      <alignment wrapText="1"/>
    </xf>
    <xf numFmtId="49" fontId="27" fillId="12" borderId="27" xfId="0" applyNumberFormat="1" applyFont="1" applyFill="1" applyBorder="1" applyAlignment="1">
      <alignment wrapText="1"/>
    </xf>
    <xf numFmtId="49" fontId="27" fillId="12" borderId="28" xfId="0" applyNumberFormat="1" applyFont="1" applyFill="1" applyBorder="1" applyAlignment="1">
      <alignment wrapText="1"/>
    </xf>
    <xf numFmtId="49" fontId="27" fillId="12" borderId="29" xfId="0" applyNumberFormat="1" applyFont="1" applyFill="1" applyBorder="1" applyAlignment="1">
      <alignment wrapText="1"/>
    </xf>
    <xf numFmtId="49" fontId="27" fillId="12" borderId="30" xfId="0" applyNumberFormat="1" applyFont="1" applyFill="1" applyBorder="1" applyAlignment="1">
      <alignment wrapText="1"/>
    </xf>
    <xf numFmtId="49" fontId="3" fillId="11" borderId="33" xfId="0" applyNumberFormat="1" applyFont="1" applyFill="1" applyBorder="1" applyAlignment="1">
      <alignment wrapText="1"/>
    </xf>
    <xf numFmtId="49" fontId="3" fillId="11" borderId="34" xfId="0" applyNumberFormat="1" applyFont="1" applyFill="1" applyBorder="1" applyAlignment="1">
      <alignment wrapText="1"/>
    </xf>
    <xf numFmtId="49" fontId="5" fillId="11" borderId="35" xfId="0" applyNumberFormat="1" applyFont="1" applyFill="1" applyBorder="1" applyAlignment="1">
      <alignment wrapText="1"/>
    </xf>
    <xf numFmtId="49" fontId="3" fillId="12" borderId="15" xfId="0" applyNumberFormat="1" applyFont="1" applyFill="1" applyBorder="1" applyAlignment="1">
      <alignment wrapText="1"/>
    </xf>
    <xf numFmtId="49" fontId="3" fillId="12" borderId="16" xfId="0" applyNumberFormat="1" applyFont="1" applyFill="1" applyBorder="1" applyAlignment="1">
      <alignment wrapText="1"/>
    </xf>
    <xf numFmtId="49" fontId="5" fillId="12" borderId="17" xfId="0" applyNumberFormat="1" applyFont="1" applyFill="1" applyBorder="1" applyAlignment="1">
      <alignment wrapText="1"/>
    </xf>
    <xf numFmtId="49" fontId="3" fillId="12" borderId="18" xfId="0" applyNumberFormat="1" applyFont="1" applyFill="1" applyBorder="1" applyAlignment="1">
      <alignment wrapText="1"/>
    </xf>
    <xf numFmtId="49" fontId="27" fillId="4" borderId="15" xfId="0" applyNumberFormat="1" applyFont="1" applyFill="1" applyBorder="1" applyAlignment="1">
      <alignment wrapText="1"/>
    </xf>
    <xf numFmtId="49" fontId="27" fillId="4" borderId="16" xfId="0" applyNumberFormat="1" applyFont="1" applyFill="1" applyBorder="1" applyAlignment="1">
      <alignment wrapText="1"/>
    </xf>
    <xf numFmtId="49" fontId="27" fillId="4" borderId="17" xfId="0" applyNumberFormat="1" applyFont="1" applyFill="1" applyBorder="1" applyAlignment="1">
      <alignment wrapText="1"/>
    </xf>
    <xf numFmtId="49" fontId="27" fillId="4" borderId="18" xfId="0" applyNumberFormat="1" applyFont="1" applyFill="1" applyBorder="1" applyAlignment="1">
      <alignment wrapText="1"/>
    </xf>
    <xf numFmtId="49" fontId="27" fillId="12" borderId="15" xfId="0" applyNumberFormat="1" applyFont="1" applyFill="1" applyBorder="1" applyAlignment="1">
      <alignment wrapText="1"/>
    </xf>
    <xf numFmtId="49" fontId="27" fillId="12" borderId="16" xfId="0" applyNumberFormat="1" applyFont="1" applyFill="1" applyBorder="1" applyAlignment="1">
      <alignment wrapText="1"/>
    </xf>
    <xf numFmtId="49" fontId="27" fillId="12" borderId="17" xfId="0" applyNumberFormat="1" applyFont="1" applyFill="1" applyBorder="1" applyAlignment="1">
      <alignment wrapText="1"/>
    </xf>
    <xf numFmtId="49" fontId="27" fillId="12" borderId="18" xfId="0" applyNumberFormat="1" applyFont="1" applyFill="1" applyBorder="1" applyAlignment="1">
      <alignment wrapText="1"/>
    </xf>
    <xf numFmtId="49" fontId="29" fillId="13" borderId="18" xfId="0" applyNumberFormat="1" applyFont="1" applyFill="1" applyBorder="1" applyAlignment="1">
      <alignment wrapText="1"/>
    </xf>
    <xf numFmtId="49" fontId="3" fillId="11" borderId="29" xfId="0" applyNumberFormat="1" applyFont="1" applyFill="1" applyBorder="1" applyAlignment="1">
      <alignment wrapText="1"/>
    </xf>
    <xf numFmtId="49" fontId="3" fillId="4" borderId="27" xfId="0" applyNumberFormat="1" applyFont="1" applyFill="1" applyBorder="1" applyAlignment="1">
      <alignment wrapText="1"/>
    </xf>
    <xf numFmtId="49" fontId="3" fillId="4" borderId="28" xfId="0" applyNumberFormat="1" applyFont="1" applyFill="1" applyBorder="1" applyAlignment="1">
      <alignment wrapText="1"/>
    </xf>
    <xf numFmtId="49" fontId="5" fillId="4" borderId="29" xfId="0" applyNumberFormat="1" applyFont="1" applyFill="1" applyBorder="1" applyAlignment="1">
      <alignment wrapText="1"/>
    </xf>
    <xf numFmtId="49" fontId="3" fillId="4" borderId="30" xfId="0" applyNumberFormat="1" applyFont="1" applyFill="1" applyBorder="1" applyAlignment="1">
      <alignment wrapText="1"/>
    </xf>
    <xf numFmtId="49" fontId="27" fillId="12" borderId="21" xfId="0" applyNumberFormat="1" applyFont="1" applyFill="1" applyBorder="1" applyAlignment="1">
      <alignment wrapText="1"/>
    </xf>
    <xf numFmtId="49" fontId="27" fillId="12" borderId="22" xfId="0" applyNumberFormat="1" applyFont="1" applyFill="1" applyBorder="1" applyAlignment="1">
      <alignment wrapText="1"/>
    </xf>
    <xf numFmtId="49" fontId="27" fillId="12" borderId="23" xfId="0" applyNumberFormat="1" applyFont="1" applyFill="1" applyBorder="1" applyAlignment="1">
      <alignment wrapText="1"/>
    </xf>
    <xf numFmtId="49" fontId="27" fillId="12" borderId="24" xfId="0" applyNumberFormat="1" applyFont="1" applyFill="1" applyBorder="1" applyAlignment="1">
      <alignment wrapText="1"/>
    </xf>
    <xf numFmtId="49" fontId="3" fillId="14" borderId="33" xfId="0" applyNumberFormat="1" applyFont="1" applyFill="1" applyBorder="1" applyAlignment="1">
      <alignment wrapText="1"/>
    </xf>
    <xf numFmtId="49" fontId="3" fillId="14" borderId="34" xfId="0" applyNumberFormat="1" applyFont="1" applyFill="1" applyBorder="1" applyAlignment="1">
      <alignment wrapText="1"/>
    </xf>
    <xf numFmtId="49" fontId="5" fillId="14" borderId="35" xfId="0" applyNumberFormat="1" applyFont="1" applyFill="1" applyBorder="1" applyAlignment="1">
      <alignment wrapText="1"/>
    </xf>
    <xf numFmtId="49" fontId="3" fillId="14" borderId="36" xfId="0" applyNumberFormat="1" applyFont="1" applyFill="1" applyBorder="1" applyAlignment="1">
      <alignment wrapText="1"/>
    </xf>
    <xf numFmtId="49" fontId="30" fillId="15" borderId="15" xfId="0" applyNumberFormat="1" applyFont="1" applyFill="1" applyBorder="1" applyAlignment="1">
      <alignment wrapText="1"/>
    </xf>
    <xf numFmtId="49" fontId="30" fillId="15" borderId="16" xfId="0" applyNumberFormat="1" applyFont="1" applyFill="1" applyBorder="1" applyAlignment="1">
      <alignment wrapText="1"/>
    </xf>
    <xf numFmtId="49" fontId="31" fillId="15" borderId="17" xfId="0" applyNumberFormat="1" applyFont="1" applyFill="1" applyBorder="1" applyAlignment="1">
      <alignment wrapText="1"/>
    </xf>
    <xf numFmtId="49" fontId="30" fillId="15" borderId="18" xfId="0" applyNumberFormat="1" applyFont="1" applyFill="1" applyBorder="1" applyAlignment="1">
      <alignment wrapText="1"/>
    </xf>
    <xf numFmtId="49" fontId="30" fillId="15" borderId="27" xfId="0" applyNumberFormat="1" applyFont="1" applyFill="1" applyBorder="1" applyAlignment="1">
      <alignment wrapText="1"/>
    </xf>
    <xf numFmtId="49" fontId="30" fillId="15" borderId="28" xfId="0" applyNumberFormat="1" applyFont="1" applyFill="1" applyBorder="1" applyAlignment="1">
      <alignment wrapText="1"/>
    </xf>
    <xf numFmtId="49" fontId="31" fillId="15" borderId="29" xfId="0" applyNumberFormat="1" applyFont="1" applyFill="1" applyBorder="1" applyAlignment="1">
      <alignment wrapText="1"/>
    </xf>
    <xf numFmtId="49" fontId="30" fillId="15" borderId="30" xfId="0" applyNumberFormat="1" applyFont="1" applyFill="1" applyBorder="1" applyAlignment="1">
      <alignment wrapText="1"/>
    </xf>
    <xf numFmtId="0" fontId="2" fillId="16" borderId="39" xfId="0" applyFont="1" applyFill="1" applyBorder="1" applyAlignment="1">
      <alignment horizontal="center" wrapText="1"/>
    </xf>
    <xf numFmtId="0" fontId="3" fillId="16" borderId="39" xfId="0" applyFont="1" applyFill="1" applyBorder="1" applyAlignment="1">
      <alignment wrapText="1"/>
    </xf>
    <xf numFmtId="0" fontId="6" fillId="16" borderId="6" xfId="0" applyFont="1" applyFill="1" applyBorder="1" applyAlignment="1">
      <alignment horizontal="center" vertical="center" wrapText="1"/>
    </xf>
    <xf numFmtId="49" fontId="3" fillId="16" borderId="11" xfId="0" applyNumberFormat="1" applyFont="1" applyFill="1" applyBorder="1" applyAlignment="1">
      <alignment wrapText="1"/>
    </xf>
    <xf numFmtId="49" fontId="3" fillId="16" borderId="17" xfId="0" applyNumberFormat="1" applyFont="1" applyFill="1" applyBorder="1" applyAlignment="1">
      <alignment wrapText="1"/>
    </xf>
    <xf numFmtId="49" fontId="10" fillId="16" borderId="17" xfId="0" applyNumberFormat="1" applyFont="1" applyFill="1" applyBorder="1" applyAlignment="1">
      <alignment wrapText="1"/>
    </xf>
    <xf numFmtId="49" fontId="3" fillId="16" borderId="17" xfId="0" quotePrefix="1" applyNumberFormat="1" applyFont="1" applyFill="1" applyBorder="1" applyAlignment="1">
      <alignment wrapText="1"/>
    </xf>
    <xf numFmtId="49" fontId="10" fillId="16" borderId="17" xfId="0" quotePrefix="1" applyNumberFormat="1" applyFont="1" applyFill="1" applyBorder="1" applyAlignment="1">
      <alignment wrapText="1"/>
    </xf>
    <xf numFmtId="49" fontId="5" fillId="16" borderId="17" xfId="0" applyNumberFormat="1" applyFont="1" applyFill="1" applyBorder="1" applyAlignment="1">
      <alignment wrapText="1"/>
    </xf>
    <xf numFmtId="49" fontId="10" fillId="16" borderId="23" xfId="0" applyNumberFormat="1" applyFont="1" applyFill="1" applyBorder="1" applyAlignment="1">
      <alignment wrapText="1"/>
    </xf>
    <xf numFmtId="49" fontId="5" fillId="16" borderId="23" xfId="0" applyNumberFormat="1" applyFont="1" applyFill="1" applyBorder="1" applyAlignment="1">
      <alignment wrapText="1"/>
    </xf>
    <xf numFmtId="49" fontId="5" fillId="16" borderId="29" xfId="0" applyNumberFormat="1" applyFont="1" applyFill="1" applyBorder="1" applyAlignment="1">
      <alignment wrapText="1"/>
    </xf>
    <xf numFmtId="49" fontId="3" fillId="16" borderId="35" xfId="0" applyNumberFormat="1" applyFont="1" applyFill="1" applyBorder="1" applyAlignment="1">
      <alignment wrapText="1"/>
    </xf>
    <xf numFmtId="49" fontId="21" fillId="16" borderId="17" xfId="0" applyNumberFormat="1" applyFont="1" applyFill="1" applyBorder="1" applyAlignment="1">
      <alignment wrapText="1"/>
    </xf>
    <xf numFmtId="49" fontId="3" fillId="16" borderId="23" xfId="0" applyNumberFormat="1" applyFont="1" applyFill="1" applyBorder="1" applyAlignment="1">
      <alignment wrapText="1"/>
    </xf>
    <xf numFmtId="49" fontId="1" fillId="16" borderId="29" xfId="0" applyNumberFormat="1" applyFont="1" applyFill="1" applyBorder="1" applyAlignment="1">
      <alignment wrapText="1"/>
    </xf>
    <xf numFmtId="49" fontId="1" fillId="16" borderId="17" xfId="0" applyNumberFormat="1" applyFont="1" applyFill="1" applyBorder="1" applyAlignment="1">
      <alignment wrapText="1"/>
    </xf>
    <xf numFmtId="49" fontId="10" fillId="16" borderId="29" xfId="0" applyNumberFormat="1" applyFont="1" applyFill="1" applyBorder="1" applyAlignment="1">
      <alignment wrapText="1"/>
    </xf>
    <xf numFmtId="49" fontId="3" fillId="16" borderId="29" xfId="0" applyNumberFormat="1" applyFont="1" applyFill="1" applyBorder="1" applyAlignment="1">
      <alignment wrapText="1"/>
    </xf>
    <xf numFmtId="49" fontId="10" fillId="16" borderId="35" xfId="0" applyNumberFormat="1" applyFont="1" applyFill="1" applyBorder="1" applyAlignment="1">
      <alignment wrapText="1"/>
    </xf>
    <xf numFmtId="49" fontId="27" fillId="16" borderId="29" xfId="0" applyNumberFormat="1" applyFont="1" applyFill="1" applyBorder="1" applyAlignment="1">
      <alignment wrapText="1"/>
    </xf>
    <xf numFmtId="49" fontId="27" fillId="16" borderId="17" xfId="0" applyNumberFormat="1" applyFont="1" applyFill="1" applyBorder="1" applyAlignment="1">
      <alignment wrapText="1"/>
    </xf>
    <xf numFmtId="49" fontId="27" fillId="16" borderId="23" xfId="0" applyNumberFormat="1" applyFont="1" applyFill="1" applyBorder="1" applyAlignment="1">
      <alignment wrapText="1"/>
    </xf>
    <xf numFmtId="49" fontId="30" fillId="16" borderId="17" xfId="0" applyNumberFormat="1" applyFont="1" applyFill="1" applyBorder="1" applyAlignment="1">
      <alignment wrapText="1"/>
    </xf>
    <xf numFmtId="49" fontId="30" fillId="16" borderId="29" xfId="0" applyNumberFormat="1" applyFont="1" applyFill="1" applyBorder="1" applyAlignment="1">
      <alignment wrapText="1"/>
    </xf>
    <xf numFmtId="0" fontId="0" fillId="16" borderId="39" xfId="0" applyFill="1" applyBorder="1" applyAlignment="1">
      <alignment wrapText="1"/>
    </xf>
    <xf numFmtId="1" fontId="4" fillId="17" borderId="39" xfId="0" applyNumberFormat="1" applyFont="1" applyFill="1" applyBorder="1" applyAlignment="1">
      <alignment horizontal="center"/>
    </xf>
    <xf numFmtId="0" fontId="4" fillId="17" borderId="0" xfId="0" applyFont="1" applyFill="1" applyAlignment="1">
      <alignment horizontal="left"/>
    </xf>
    <xf numFmtId="1" fontId="4" fillId="17" borderId="0" xfId="0" applyNumberFormat="1" applyFont="1" applyFill="1" applyAlignment="1">
      <alignment horizontal="center"/>
    </xf>
    <xf numFmtId="10" fontId="4" fillId="17" borderId="0" xfId="0" applyNumberFormat="1" applyFont="1" applyFill="1" applyAlignment="1">
      <alignment horizontal="right"/>
    </xf>
    <xf numFmtId="1" fontId="3" fillId="17" borderId="39" xfId="0" applyNumberFormat="1" applyFont="1" applyFill="1" applyBorder="1" applyAlignment="1">
      <alignment horizontal="center"/>
    </xf>
    <xf numFmtId="3" fontId="3" fillId="17" borderId="0" xfId="0" applyNumberFormat="1" applyFont="1" applyFill="1" applyAlignment="1">
      <alignment horizontal="left"/>
    </xf>
    <xf numFmtId="1" fontId="3" fillId="17" borderId="0" xfId="0" applyNumberFormat="1" applyFont="1" applyFill="1" applyAlignment="1">
      <alignment horizontal="center"/>
    </xf>
    <xf numFmtId="10" fontId="3" fillId="17" borderId="0" xfId="0" applyNumberFormat="1" applyFont="1" applyFill="1" applyAlignment="1">
      <alignment horizontal="right"/>
    </xf>
    <xf numFmtId="1" fontId="6" fillId="17" borderId="5" xfId="0" applyNumberFormat="1" applyFont="1" applyFill="1" applyBorder="1" applyAlignment="1">
      <alignment horizontal="center" vertical="center" wrapText="1"/>
    </xf>
    <xf numFmtId="0" fontId="6" fillId="17" borderId="5" xfId="0" applyFont="1" applyFill="1" applyBorder="1" applyAlignment="1">
      <alignment horizontal="center" vertical="center" wrapText="1"/>
    </xf>
    <xf numFmtId="1" fontId="6" fillId="17" borderId="6" xfId="0" applyNumberFormat="1" applyFont="1" applyFill="1" applyBorder="1" applyAlignment="1">
      <alignment horizontal="center" vertical="center" wrapText="1"/>
    </xf>
    <xf numFmtId="10" fontId="6" fillId="17" borderId="6" xfId="0" applyNumberFormat="1" applyFont="1" applyFill="1" applyBorder="1" applyAlignment="1">
      <alignment horizontal="center" vertical="center" wrapText="1"/>
    </xf>
    <xf numFmtId="10" fontId="6" fillId="17" borderId="7" xfId="0" applyNumberFormat="1" applyFont="1" applyFill="1" applyBorder="1" applyAlignment="1">
      <alignment horizontal="center" vertical="center" wrapText="1"/>
    </xf>
    <xf numFmtId="1" fontId="3" fillId="17" borderId="10" xfId="0" applyNumberFormat="1" applyFont="1" applyFill="1" applyBorder="1" applyAlignment="1">
      <alignment horizontal="center"/>
    </xf>
    <xf numFmtId="49" fontId="3" fillId="17" borderId="10" xfId="0" applyNumberFormat="1" applyFont="1" applyFill="1" applyBorder="1" applyAlignment="1">
      <alignment horizontal="left"/>
    </xf>
    <xf numFmtId="1" fontId="3" fillId="17" borderId="11" xfId="0" applyNumberFormat="1" applyFont="1" applyFill="1" applyBorder="1" applyAlignment="1">
      <alignment horizontal="center"/>
    </xf>
    <xf numFmtId="10" fontId="3" fillId="17" borderId="11" xfId="0" applyNumberFormat="1" applyFont="1" applyFill="1" applyBorder="1" applyAlignment="1">
      <alignment horizontal="right"/>
    </xf>
    <xf numFmtId="10" fontId="3" fillId="17" borderId="12" xfId="0" applyNumberFormat="1" applyFont="1" applyFill="1" applyBorder="1" applyAlignment="1">
      <alignment horizontal="right"/>
    </xf>
    <xf numFmtId="1" fontId="3" fillId="17" borderId="16" xfId="0" applyNumberFormat="1" applyFont="1" applyFill="1" applyBorder="1" applyAlignment="1">
      <alignment horizontal="center"/>
    </xf>
    <xf numFmtId="49" fontId="3" fillId="17" borderId="16" xfId="0" applyNumberFormat="1" applyFont="1" applyFill="1" applyBorder="1" applyAlignment="1">
      <alignment horizontal="left"/>
    </xf>
    <xf numFmtId="1" fontId="3" fillId="17" borderId="17" xfId="0" applyNumberFormat="1" applyFont="1" applyFill="1" applyBorder="1" applyAlignment="1">
      <alignment horizontal="center"/>
    </xf>
    <xf numFmtId="10" fontId="3" fillId="17" borderId="17" xfId="0" applyNumberFormat="1" applyFont="1" applyFill="1" applyBorder="1" applyAlignment="1">
      <alignment horizontal="right"/>
    </xf>
    <xf numFmtId="10" fontId="3" fillId="17" borderId="18" xfId="0" applyNumberFormat="1" applyFont="1" applyFill="1" applyBorder="1" applyAlignment="1">
      <alignment horizontal="right"/>
    </xf>
    <xf numFmtId="1" fontId="7" fillId="17" borderId="17" xfId="0" applyNumberFormat="1" applyFont="1" applyFill="1" applyBorder="1" applyAlignment="1">
      <alignment horizontal="center"/>
    </xf>
    <xf numFmtId="10" fontId="7" fillId="17" borderId="17" xfId="0" applyNumberFormat="1" applyFont="1" applyFill="1" applyBorder="1" applyAlignment="1">
      <alignment horizontal="right"/>
    </xf>
    <xf numFmtId="10" fontId="7" fillId="17" borderId="18" xfId="0" applyNumberFormat="1" applyFont="1" applyFill="1" applyBorder="1" applyAlignment="1">
      <alignment horizontal="right"/>
    </xf>
    <xf numFmtId="1" fontId="9" fillId="17" borderId="17" xfId="0" applyNumberFormat="1" applyFont="1" applyFill="1" applyBorder="1" applyAlignment="1">
      <alignment horizontal="center"/>
    </xf>
    <xf numFmtId="10" fontId="9" fillId="17" borderId="17" xfId="0" applyNumberFormat="1" applyFont="1" applyFill="1" applyBorder="1" applyAlignment="1">
      <alignment horizontal="right"/>
    </xf>
    <xf numFmtId="10" fontId="9" fillId="17" borderId="18" xfId="0" applyNumberFormat="1" applyFont="1" applyFill="1" applyBorder="1" applyAlignment="1">
      <alignment horizontal="right"/>
    </xf>
    <xf numFmtId="1" fontId="10" fillId="17" borderId="16" xfId="0" applyNumberFormat="1" applyFont="1" applyFill="1" applyBorder="1" applyAlignment="1">
      <alignment horizontal="center"/>
    </xf>
    <xf numFmtId="49" fontId="10" fillId="17" borderId="16" xfId="0" applyNumberFormat="1" applyFont="1" applyFill="1" applyBorder="1" applyAlignment="1">
      <alignment horizontal="left"/>
    </xf>
    <xf numFmtId="1" fontId="11" fillId="17" borderId="17" xfId="0" applyNumberFormat="1" applyFont="1" applyFill="1" applyBorder="1" applyAlignment="1">
      <alignment horizontal="center"/>
    </xf>
    <xf numFmtId="10" fontId="11" fillId="17" borderId="17" xfId="0" applyNumberFormat="1" applyFont="1" applyFill="1" applyBorder="1" applyAlignment="1">
      <alignment horizontal="right"/>
    </xf>
    <xf numFmtId="10" fontId="11" fillId="17" borderId="18" xfId="0" applyNumberFormat="1" applyFont="1" applyFill="1" applyBorder="1" applyAlignment="1">
      <alignment horizontal="right"/>
    </xf>
    <xf numFmtId="1" fontId="16" fillId="17" borderId="17" xfId="0" applyNumberFormat="1" applyFont="1" applyFill="1" applyBorder="1" applyAlignment="1">
      <alignment horizontal="center"/>
    </xf>
    <xf numFmtId="10" fontId="16" fillId="17" borderId="17" xfId="0" applyNumberFormat="1" applyFont="1" applyFill="1" applyBorder="1" applyAlignment="1">
      <alignment horizontal="right"/>
    </xf>
    <xf numFmtId="10" fontId="16" fillId="17" borderId="18" xfId="0" applyNumberFormat="1" applyFont="1" applyFill="1" applyBorder="1" applyAlignment="1">
      <alignment horizontal="right"/>
    </xf>
    <xf numFmtId="1" fontId="3" fillId="17" borderId="16" xfId="0" quotePrefix="1" applyNumberFormat="1" applyFont="1" applyFill="1" applyBorder="1" applyAlignment="1">
      <alignment horizontal="center"/>
    </xf>
    <xf numFmtId="49" fontId="3" fillId="17" borderId="16" xfId="0" quotePrefix="1" applyNumberFormat="1" applyFont="1" applyFill="1" applyBorder="1" applyAlignment="1">
      <alignment horizontal="left"/>
    </xf>
    <xf numFmtId="1" fontId="3" fillId="17" borderId="17" xfId="0" quotePrefix="1" applyNumberFormat="1" applyFont="1" applyFill="1" applyBorder="1" applyAlignment="1">
      <alignment horizontal="center"/>
    </xf>
    <xf numFmtId="10" fontId="3" fillId="17" borderId="17" xfId="0" quotePrefix="1" applyNumberFormat="1" applyFont="1" applyFill="1" applyBorder="1" applyAlignment="1">
      <alignment horizontal="right"/>
    </xf>
    <xf numFmtId="10" fontId="3" fillId="17" borderId="18" xfId="0" quotePrefix="1" applyNumberFormat="1" applyFont="1" applyFill="1" applyBorder="1" applyAlignment="1">
      <alignment horizontal="right"/>
    </xf>
    <xf numFmtId="1" fontId="10" fillId="17" borderId="16" xfId="0" quotePrefix="1" applyNumberFormat="1" applyFont="1" applyFill="1" applyBorder="1" applyAlignment="1">
      <alignment horizontal="center"/>
    </xf>
    <xf numFmtId="49" fontId="10" fillId="17" borderId="16" xfId="0" quotePrefix="1" applyNumberFormat="1" applyFont="1" applyFill="1" applyBorder="1" applyAlignment="1">
      <alignment horizontal="left"/>
    </xf>
    <xf numFmtId="1" fontId="10" fillId="17" borderId="17" xfId="0" quotePrefix="1" applyNumberFormat="1" applyFont="1" applyFill="1" applyBorder="1" applyAlignment="1">
      <alignment horizontal="center"/>
    </xf>
    <xf numFmtId="10" fontId="10" fillId="17" borderId="17" xfId="0" quotePrefix="1" applyNumberFormat="1" applyFont="1" applyFill="1" applyBorder="1" applyAlignment="1">
      <alignment horizontal="right"/>
    </xf>
    <xf numFmtId="10" fontId="10" fillId="17" borderId="18" xfId="0" quotePrefix="1" applyNumberFormat="1" applyFont="1" applyFill="1" applyBorder="1" applyAlignment="1">
      <alignment horizontal="right"/>
    </xf>
    <xf numFmtId="1" fontId="18" fillId="17" borderId="17" xfId="0" applyNumberFormat="1" applyFont="1" applyFill="1" applyBorder="1" applyAlignment="1">
      <alignment horizontal="center"/>
    </xf>
    <xf numFmtId="10" fontId="18" fillId="17" borderId="17" xfId="0" applyNumberFormat="1" applyFont="1" applyFill="1" applyBorder="1" applyAlignment="1">
      <alignment horizontal="right"/>
    </xf>
    <xf numFmtId="10" fontId="18" fillId="17" borderId="18" xfId="0" applyNumberFormat="1" applyFont="1" applyFill="1" applyBorder="1" applyAlignment="1">
      <alignment horizontal="right"/>
    </xf>
    <xf numFmtId="49" fontId="15" fillId="17" borderId="16" xfId="0" applyNumberFormat="1" applyFont="1" applyFill="1" applyBorder="1" applyAlignment="1">
      <alignment horizontal="left"/>
    </xf>
    <xf numFmtId="1" fontId="15" fillId="17" borderId="17" xfId="0" applyNumberFormat="1" applyFont="1" applyFill="1" applyBorder="1" applyAlignment="1">
      <alignment horizontal="center"/>
    </xf>
    <xf numFmtId="10" fontId="15" fillId="17" borderId="17" xfId="0" applyNumberFormat="1" applyFont="1" applyFill="1" applyBorder="1" applyAlignment="1">
      <alignment horizontal="right"/>
    </xf>
    <xf numFmtId="10" fontId="15" fillId="17" borderId="18" xfId="0" applyNumberFormat="1" applyFont="1" applyFill="1" applyBorder="1" applyAlignment="1">
      <alignment horizontal="right"/>
    </xf>
    <xf numFmtId="1" fontId="20" fillId="17" borderId="17" xfId="0" applyNumberFormat="1" applyFont="1" applyFill="1" applyBorder="1" applyAlignment="1">
      <alignment horizontal="center"/>
    </xf>
    <xf numFmtId="10" fontId="20" fillId="17" borderId="17" xfId="0" applyNumberFormat="1" applyFont="1" applyFill="1" applyBorder="1" applyAlignment="1">
      <alignment horizontal="right"/>
    </xf>
    <xf numFmtId="10" fontId="20" fillId="17" borderId="18" xfId="0" applyNumberFormat="1" applyFont="1" applyFill="1" applyBorder="1" applyAlignment="1">
      <alignment horizontal="right"/>
    </xf>
    <xf numFmtId="1" fontId="5" fillId="17" borderId="16" xfId="0" applyNumberFormat="1" applyFont="1" applyFill="1" applyBorder="1" applyAlignment="1">
      <alignment horizontal="center"/>
    </xf>
    <xf numFmtId="49" fontId="5" fillId="17" borderId="16" xfId="0" applyNumberFormat="1" applyFont="1" applyFill="1" applyBorder="1" applyAlignment="1">
      <alignment horizontal="left"/>
    </xf>
    <xf numFmtId="1" fontId="5" fillId="17" borderId="17" xfId="0" applyNumberFormat="1" applyFont="1" applyFill="1" applyBorder="1" applyAlignment="1">
      <alignment horizontal="center"/>
    </xf>
    <xf numFmtId="10" fontId="5" fillId="17" borderId="18" xfId="0" applyNumberFormat="1" applyFont="1" applyFill="1" applyBorder="1" applyAlignment="1">
      <alignment horizontal="right"/>
    </xf>
    <xf numFmtId="1" fontId="10" fillId="17" borderId="17" xfId="0" applyNumberFormat="1" applyFont="1" applyFill="1" applyBorder="1" applyAlignment="1">
      <alignment horizontal="center"/>
    </xf>
    <xf numFmtId="10" fontId="10" fillId="17" borderId="18" xfId="0" applyNumberFormat="1" applyFont="1" applyFill="1" applyBorder="1" applyAlignment="1">
      <alignment horizontal="right"/>
    </xf>
    <xf numFmtId="1" fontId="21" fillId="17" borderId="17" xfId="0" applyNumberFormat="1" applyFont="1" applyFill="1" applyBorder="1" applyAlignment="1">
      <alignment horizontal="center"/>
    </xf>
    <xf numFmtId="10" fontId="21" fillId="17" borderId="17" xfId="0" applyNumberFormat="1" applyFont="1" applyFill="1" applyBorder="1" applyAlignment="1">
      <alignment horizontal="right"/>
    </xf>
    <xf numFmtId="10" fontId="21" fillId="17" borderId="18" xfId="0" applyNumberFormat="1" applyFont="1" applyFill="1" applyBorder="1" applyAlignment="1">
      <alignment horizontal="right"/>
    </xf>
    <xf numFmtId="1" fontId="10" fillId="17" borderId="22" xfId="0" applyNumberFormat="1" applyFont="1" applyFill="1" applyBorder="1" applyAlignment="1">
      <alignment horizontal="center"/>
    </xf>
    <xf numFmtId="49" fontId="10" fillId="17" borderId="22" xfId="0" applyNumberFormat="1" applyFont="1" applyFill="1" applyBorder="1" applyAlignment="1">
      <alignment horizontal="left"/>
    </xf>
    <xf numFmtId="1" fontId="16" fillId="17" borderId="23" xfId="0" applyNumberFormat="1" applyFont="1" applyFill="1" applyBorder="1" applyAlignment="1">
      <alignment horizontal="center"/>
    </xf>
    <xf numFmtId="10" fontId="16" fillId="17" borderId="23" xfId="0" applyNumberFormat="1" applyFont="1" applyFill="1" applyBorder="1" applyAlignment="1">
      <alignment horizontal="right"/>
    </xf>
    <xf numFmtId="10" fontId="16" fillId="17" borderId="24" xfId="0" applyNumberFormat="1" applyFont="1" applyFill="1" applyBorder="1" applyAlignment="1">
      <alignment horizontal="right"/>
    </xf>
    <xf numFmtId="1" fontId="5" fillId="17" borderId="22" xfId="0" applyNumberFormat="1" applyFont="1" applyFill="1" applyBorder="1" applyAlignment="1">
      <alignment horizontal="center"/>
    </xf>
    <xf numFmtId="49" fontId="5" fillId="17" borderId="22" xfId="0" applyNumberFormat="1" applyFont="1" applyFill="1" applyBorder="1" applyAlignment="1">
      <alignment horizontal="left"/>
    </xf>
    <xf numFmtId="1" fontId="7" fillId="17" borderId="23" xfId="0" applyNumberFormat="1" applyFont="1" applyFill="1" applyBorder="1" applyAlignment="1">
      <alignment horizontal="center"/>
    </xf>
    <xf numFmtId="10" fontId="7" fillId="17" borderId="23" xfId="0" applyNumberFormat="1" applyFont="1" applyFill="1" applyBorder="1" applyAlignment="1">
      <alignment horizontal="right"/>
    </xf>
    <xf numFmtId="10" fontId="7" fillId="17" borderId="24" xfId="0" applyNumberFormat="1" applyFont="1" applyFill="1" applyBorder="1" applyAlignment="1">
      <alignment horizontal="right"/>
    </xf>
    <xf numFmtId="1" fontId="5" fillId="17" borderId="28" xfId="0" applyNumberFormat="1" applyFont="1" applyFill="1" applyBorder="1" applyAlignment="1">
      <alignment horizontal="center"/>
    </xf>
    <xf numFmtId="49" fontId="5" fillId="17" borderId="28" xfId="0" applyNumberFormat="1" applyFont="1" applyFill="1" applyBorder="1" applyAlignment="1">
      <alignment horizontal="left"/>
    </xf>
    <xf numFmtId="1" fontId="5" fillId="17" borderId="29" xfId="0" applyNumberFormat="1" applyFont="1" applyFill="1" applyBorder="1" applyAlignment="1">
      <alignment horizontal="center"/>
    </xf>
    <xf numFmtId="10" fontId="5" fillId="17" borderId="29" xfId="0" applyNumberFormat="1" applyFont="1" applyFill="1" applyBorder="1" applyAlignment="1">
      <alignment horizontal="right"/>
    </xf>
    <xf numFmtId="10" fontId="5" fillId="17" borderId="30" xfId="0" applyNumberFormat="1" applyFont="1" applyFill="1" applyBorder="1" applyAlignment="1">
      <alignment horizontal="right"/>
    </xf>
    <xf numFmtId="1" fontId="3" fillId="17" borderId="34" xfId="0" applyNumberFormat="1" applyFont="1" applyFill="1" applyBorder="1" applyAlignment="1">
      <alignment horizontal="center"/>
    </xf>
    <xf numFmtId="49" fontId="3" fillId="17" borderId="34" xfId="0" applyNumberFormat="1" applyFont="1" applyFill="1" applyBorder="1" applyAlignment="1">
      <alignment horizontal="left"/>
    </xf>
    <xf numFmtId="1" fontId="3" fillId="17" borderId="35" xfId="0" applyNumberFormat="1" applyFont="1" applyFill="1" applyBorder="1" applyAlignment="1">
      <alignment horizontal="center"/>
    </xf>
    <xf numFmtId="10" fontId="3" fillId="17" borderId="35" xfId="0" applyNumberFormat="1" applyFont="1" applyFill="1" applyBorder="1" applyAlignment="1">
      <alignment horizontal="right"/>
    </xf>
    <xf numFmtId="10" fontId="3" fillId="17" borderId="36" xfId="0" applyNumberFormat="1" applyFont="1" applyFill="1" applyBorder="1" applyAlignment="1">
      <alignment horizontal="right"/>
    </xf>
    <xf numFmtId="1" fontId="21" fillId="17" borderId="16" xfId="0" applyNumberFormat="1" applyFont="1" applyFill="1" applyBorder="1" applyAlignment="1">
      <alignment horizontal="center"/>
    </xf>
    <xf numFmtId="49" fontId="21" fillId="17" borderId="16" xfId="0" applyNumberFormat="1" applyFont="1" applyFill="1" applyBorder="1" applyAlignment="1">
      <alignment horizontal="left"/>
    </xf>
    <xf numFmtId="1" fontId="3" fillId="17" borderId="22" xfId="0" applyNumberFormat="1" applyFont="1" applyFill="1" applyBorder="1" applyAlignment="1">
      <alignment horizontal="center"/>
    </xf>
    <xf numFmtId="49" fontId="3" fillId="17" borderId="22" xfId="0" applyNumberFormat="1" applyFont="1" applyFill="1" applyBorder="1" applyAlignment="1">
      <alignment horizontal="left"/>
    </xf>
    <xf numFmtId="1" fontId="3" fillId="17" borderId="23" xfId="0" applyNumberFormat="1" applyFont="1" applyFill="1" applyBorder="1" applyAlignment="1">
      <alignment horizontal="center"/>
    </xf>
    <xf numFmtId="10" fontId="3" fillId="17" borderId="23" xfId="0" applyNumberFormat="1" applyFont="1" applyFill="1" applyBorder="1" applyAlignment="1">
      <alignment horizontal="right"/>
    </xf>
    <xf numFmtId="10" fontId="3" fillId="17" borderId="24" xfId="0" applyNumberFormat="1" applyFont="1" applyFill="1" applyBorder="1" applyAlignment="1">
      <alignment horizontal="right"/>
    </xf>
    <xf numFmtId="1" fontId="11" fillId="17" borderId="23" xfId="0" applyNumberFormat="1" applyFont="1" applyFill="1" applyBorder="1" applyAlignment="1">
      <alignment horizontal="center"/>
    </xf>
    <xf numFmtId="10" fontId="11" fillId="17" borderId="23" xfId="0" applyNumberFormat="1" applyFont="1" applyFill="1" applyBorder="1" applyAlignment="1">
      <alignment horizontal="right"/>
    </xf>
    <xf numFmtId="10" fontId="11" fillId="17" borderId="24" xfId="0" applyNumberFormat="1" applyFont="1" applyFill="1" applyBorder="1" applyAlignment="1">
      <alignment horizontal="right"/>
    </xf>
    <xf numFmtId="1" fontId="1" fillId="17" borderId="28" xfId="0" applyNumberFormat="1" applyFont="1" applyFill="1" applyBorder="1" applyAlignment="1">
      <alignment horizontal="center"/>
    </xf>
    <xf numFmtId="49" fontId="1" fillId="17" borderId="28" xfId="0" applyNumberFormat="1" applyFont="1" applyFill="1" applyBorder="1" applyAlignment="1">
      <alignment horizontal="left"/>
    </xf>
    <xf numFmtId="1" fontId="24" fillId="17" borderId="29" xfId="0" applyNumberFormat="1" applyFont="1" applyFill="1" applyBorder="1" applyAlignment="1">
      <alignment horizontal="center"/>
    </xf>
    <xf numFmtId="10" fontId="24" fillId="17" borderId="29" xfId="0" applyNumberFormat="1" applyFont="1" applyFill="1" applyBorder="1" applyAlignment="1">
      <alignment horizontal="right"/>
    </xf>
    <xf numFmtId="10" fontId="24" fillId="17" borderId="30" xfId="0" applyNumberFormat="1" applyFont="1" applyFill="1" applyBorder="1" applyAlignment="1">
      <alignment horizontal="right"/>
    </xf>
    <xf numFmtId="1" fontId="1" fillId="17" borderId="16" xfId="0" applyNumberFormat="1" applyFont="1" applyFill="1" applyBorder="1" applyAlignment="1">
      <alignment horizontal="center"/>
    </xf>
    <xf numFmtId="49" fontId="1" fillId="17" borderId="16" xfId="0" applyNumberFormat="1" applyFont="1" applyFill="1" applyBorder="1" applyAlignment="1">
      <alignment horizontal="left"/>
    </xf>
    <xf numFmtId="1" fontId="25" fillId="17" borderId="17" xfId="0" applyNumberFormat="1" applyFont="1" applyFill="1" applyBorder="1" applyAlignment="1">
      <alignment horizontal="center"/>
    </xf>
    <xf numFmtId="10" fontId="25" fillId="17" borderId="17" xfId="0" applyNumberFormat="1" applyFont="1" applyFill="1" applyBorder="1" applyAlignment="1">
      <alignment horizontal="right"/>
    </xf>
    <xf numFmtId="10" fontId="25" fillId="17" borderId="18" xfId="0" applyNumberFormat="1" applyFont="1" applyFill="1" applyBorder="1" applyAlignment="1">
      <alignment horizontal="right"/>
    </xf>
    <xf numFmtId="1" fontId="10" fillId="17" borderId="28" xfId="0" applyNumberFormat="1" applyFont="1" applyFill="1" applyBorder="1" applyAlignment="1">
      <alignment horizontal="center"/>
    </xf>
    <xf numFmtId="49" fontId="10" fillId="17" borderId="28" xfId="0" applyNumberFormat="1" applyFont="1" applyFill="1" applyBorder="1" applyAlignment="1">
      <alignment horizontal="left"/>
    </xf>
    <xf numFmtId="1" fontId="10" fillId="17" borderId="29" xfId="0" applyNumberFormat="1" applyFont="1" applyFill="1" applyBorder="1" applyAlignment="1">
      <alignment horizontal="center"/>
    </xf>
    <xf numFmtId="10" fontId="10" fillId="17" borderId="29" xfId="0" applyNumberFormat="1" applyFont="1" applyFill="1" applyBorder="1" applyAlignment="1">
      <alignment horizontal="right"/>
    </xf>
    <xf numFmtId="10" fontId="10" fillId="17" borderId="30" xfId="0" applyNumberFormat="1" applyFont="1" applyFill="1" applyBorder="1" applyAlignment="1">
      <alignment horizontal="right"/>
    </xf>
    <xf numFmtId="10" fontId="10" fillId="17" borderId="17" xfId="0" applyNumberFormat="1" applyFont="1" applyFill="1" applyBorder="1" applyAlignment="1">
      <alignment horizontal="right"/>
    </xf>
    <xf numFmtId="1" fontId="3" fillId="17" borderId="28" xfId="0" applyNumberFormat="1" applyFont="1" applyFill="1" applyBorder="1" applyAlignment="1">
      <alignment horizontal="center"/>
    </xf>
    <xf numFmtId="49" fontId="3" fillId="17" borderId="28" xfId="0" applyNumberFormat="1" applyFont="1" applyFill="1" applyBorder="1" applyAlignment="1">
      <alignment horizontal="left"/>
    </xf>
    <xf numFmtId="1" fontId="3" fillId="17" borderId="29" xfId="0" applyNumberFormat="1" applyFont="1" applyFill="1" applyBorder="1" applyAlignment="1">
      <alignment horizontal="center"/>
    </xf>
    <xf numFmtId="10" fontId="3" fillId="17" borderId="29" xfId="0" applyNumberFormat="1" applyFont="1" applyFill="1" applyBorder="1" applyAlignment="1">
      <alignment horizontal="right"/>
    </xf>
    <xf numFmtId="10" fontId="3" fillId="17" borderId="30" xfId="0" applyNumberFormat="1" applyFont="1" applyFill="1" applyBorder="1" applyAlignment="1">
      <alignment horizontal="right"/>
    </xf>
    <xf numFmtId="1" fontId="10" fillId="17" borderId="34" xfId="0" applyNumberFormat="1" applyFont="1" applyFill="1" applyBorder="1" applyAlignment="1">
      <alignment horizontal="center"/>
    </xf>
    <xf numFmtId="49" fontId="10" fillId="17" borderId="34" xfId="0" applyNumberFormat="1" applyFont="1" applyFill="1" applyBorder="1" applyAlignment="1">
      <alignment horizontal="left"/>
    </xf>
    <xf numFmtId="1" fontId="16" fillId="17" borderId="35" xfId="0" applyNumberFormat="1" applyFont="1" applyFill="1" applyBorder="1" applyAlignment="1">
      <alignment horizontal="center"/>
    </xf>
    <xf numFmtId="10" fontId="16" fillId="17" borderId="35" xfId="0" applyNumberFormat="1" applyFont="1" applyFill="1" applyBorder="1" applyAlignment="1">
      <alignment horizontal="right"/>
    </xf>
    <xf numFmtId="10" fontId="16" fillId="17" borderId="36" xfId="0" applyNumberFormat="1" applyFont="1" applyFill="1" applyBorder="1" applyAlignment="1">
      <alignment horizontal="right"/>
    </xf>
    <xf numFmtId="1" fontId="27" fillId="17" borderId="28" xfId="0" applyNumberFormat="1" applyFont="1" applyFill="1" applyBorder="1" applyAlignment="1">
      <alignment horizontal="center"/>
    </xf>
    <xf numFmtId="49" fontId="27" fillId="17" borderId="28" xfId="0" applyNumberFormat="1" applyFont="1" applyFill="1" applyBorder="1" applyAlignment="1">
      <alignment horizontal="left"/>
    </xf>
    <xf numFmtId="1" fontId="27" fillId="17" borderId="29" xfId="0" applyNumberFormat="1" applyFont="1" applyFill="1" applyBorder="1" applyAlignment="1">
      <alignment horizontal="center"/>
    </xf>
    <xf numFmtId="10" fontId="27" fillId="17" borderId="29" xfId="0" applyNumberFormat="1" applyFont="1" applyFill="1" applyBorder="1" applyAlignment="1">
      <alignment horizontal="right"/>
    </xf>
    <xf numFmtId="10" fontId="27" fillId="17" borderId="30" xfId="0" applyNumberFormat="1" applyFont="1" applyFill="1" applyBorder="1" applyAlignment="1">
      <alignment horizontal="right"/>
    </xf>
    <xf numFmtId="1" fontId="7" fillId="17" borderId="35" xfId="0" applyNumberFormat="1" applyFont="1" applyFill="1" applyBorder="1" applyAlignment="1">
      <alignment horizontal="center"/>
    </xf>
    <xf numFmtId="10" fontId="7" fillId="17" borderId="35" xfId="0" applyNumberFormat="1" applyFont="1" applyFill="1" applyBorder="1" applyAlignment="1">
      <alignment horizontal="right"/>
    </xf>
    <xf numFmtId="10" fontId="7" fillId="17" borderId="36" xfId="0" applyNumberFormat="1" applyFont="1" applyFill="1" applyBorder="1" applyAlignment="1">
      <alignment horizontal="right"/>
    </xf>
    <xf numFmtId="1" fontId="18" fillId="17" borderId="35" xfId="0" applyNumberFormat="1" applyFont="1" applyFill="1" applyBorder="1" applyAlignment="1">
      <alignment horizontal="center"/>
    </xf>
    <xf numFmtId="10" fontId="18" fillId="17" borderId="35" xfId="0" applyNumberFormat="1" applyFont="1" applyFill="1" applyBorder="1" applyAlignment="1">
      <alignment horizontal="right"/>
    </xf>
    <xf numFmtId="10" fontId="18" fillId="17" borderId="36" xfId="0" applyNumberFormat="1" applyFont="1" applyFill="1" applyBorder="1" applyAlignment="1">
      <alignment horizontal="right"/>
    </xf>
    <xf numFmtId="1" fontId="27" fillId="17" borderId="16" xfId="0" applyNumberFormat="1" applyFont="1" applyFill="1" applyBorder="1" applyAlignment="1">
      <alignment horizontal="center"/>
    </xf>
    <xf numFmtId="49" fontId="27" fillId="17" borderId="16" xfId="0" applyNumberFormat="1" applyFont="1" applyFill="1" applyBorder="1" applyAlignment="1">
      <alignment horizontal="left"/>
    </xf>
    <xf numFmtId="1" fontId="27" fillId="17" borderId="17" xfId="0" applyNumberFormat="1" applyFont="1" applyFill="1" applyBorder="1" applyAlignment="1">
      <alignment horizontal="center"/>
    </xf>
    <xf numFmtId="10" fontId="27" fillId="17" borderId="17" xfId="0" applyNumberFormat="1" applyFont="1" applyFill="1" applyBorder="1" applyAlignment="1">
      <alignment horizontal="right"/>
    </xf>
    <xf numFmtId="10" fontId="27" fillId="17" borderId="18" xfId="0" applyNumberFormat="1" applyFont="1" applyFill="1" applyBorder="1" applyAlignment="1">
      <alignment horizontal="right"/>
    </xf>
    <xf numFmtId="1" fontId="5" fillId="17" borderId="23" xfId="0" applyNumberFormat="1" applyFont="1" applyFill="1" applyBorder="1" applyAlignment="1">
      <alignment horizontal="center"/>
    </xf>
    <xf numFmtId="10" fontId="5" fillId="17" borderId="23" xfId="0" applyNumberFormat="1" applyFont="1" applyFill="1" applyBorder="1" applyAlignment="1">
      <alignment horizontal="right"/>
    </xf>
    <xf numFmtId="10" fontId="5" fillId="17" borderId="24" xfId="0" applyNumberFormat="1" applyFont="1" applyFill="1" applyBorder="1" applyAlignment="1">
      <alignment horizontal="right"/>
    </xf>
    <xf numFmtId="1" fontId="10" fillId="17" borderId="23" xfId="0" applyNumberFormat="1" applyFont="1" applyFill="1" applyBorder="1" applyAlignment="1">
      <alignment horizontal="center"/>
    </xf>
    <xf numFmtId="10" fontId="10" fillId="17" borderId="23" xfId="0" applyNumberFormat="1" applyFont="1" applyFill="1" applyBorder="1" applyAlignment="1">
      <alignment horizontal="right"/>
    </xf>
    <xf numFmtId="10" fontId="10" fillId="17" borderId="24" xfId="0" applyNumberFormat="1" applyFont="1" applyFill="1" applyBorder="1" applyAlignment="1">
      <alignment horizontal="right"/>
    </xf>
    <xf numFmtId="1" fontId="7" fillId="17" borderId="16" xfId="0" applyNumberFormat="1" applyFont="1" applyFill="1" applyBorder="1" applyAlignment="1">
      <alignment horizontal="center"/>
    </xf>
    <xf numFmtId="10" fontId="7" fillId="17" borderId="16" xfId="0" applyNumberFormat="1" applyFont="1" applyFill="1" applyBorder="1" applyAlignment="1">
      <alignment horizontal="right"/>
    </xf>
    <xf numFmtId="1" fontId="7" fillId="17" borderId="28" xfId="0" applyNumberFormat="1" applyFont="1" applyFill="1" applyBorder="1" applyAlignment="1">
      <alignment horizontal="center"/>
    </xf>
    <xf numFmtId="10" fontId="7" fillId="17" borderId="28" xfId="0" applyNumberFormat="1" applyFont="1" applyFill="1" applyBorder="1" applyAlignment="1">
      <alignment horizontal="right"/>
    </xf>
    <xf numFmtId="10" fontId="7" fillId="17" borderId="30" xfId="0" applyNumberFormat="1" applyFont="1" applyFill="1" applyBorder="1" applyAlignment="1">
      <alignment horizontal="right"/>
    </xf>
    <xf numFmtId="10" fontId="5" fillId="17" borderId="17" xfId="0" applyNumberFormat="1" applyFont="1" applyFill="1" applyBorder="1" applyAlignment="1">
      <alignment horizontal="right"/>
    </xf>
    <xf numFmtId="1" fontId="27" fillId="17" borderId="22" xfId="0" applyNumberFormat="1" applyFont="1" applyFill="1" applyBorder="1" applyAlignment="1">
      <alignment horizontal="center"/>
    </xf>
    <xf numFmtId="49" fontId="27" fillId="17" borderId="22" xfId="0" applyNumberFormat="1" applyFont="1" applyFill="1" applyBorder="1" applyAlignment="1">
      <alignment horizontal="left"/>
    </xf>
    <xf numFmtId="1" fontId="27" fillId="17" borderId="23" xfId="0" applyNumberFormat="1" applyFont="1" applyFill="1" applyBorder="1" applyAlignment="1">
      <alignment horizontal="center"/>
    </xf>
    <xf numFmtId="10" fontId="27" fillId="17" borderId="23" xfId="0" applyNumberFormat="1" applyFont="1" applyFill="1" applyBorder="1" applyAlignment="1">
      <alignment horizontal="right"/>
    </xf>
    <xf numFmtId="10" fontId="27" fillId="17" borderId="24" xfId="0" applyNumberFormat="1" applyFont="1" applyFill="1" applyBorder="1" applyAlignment="1">
      <alignment horizontal="right"/>
    </xf>
    <xf numFmtId="1" fontId="11" fillId="17" borderId="29" xfId="0" applyNumberFormat="1" applyFont="1" applyFill="1" applyBorder="1" applyAlignment="1">
      <alignment horizontal="center"/>
    </xf>
    <xf numFmtId="10" fontId="11" fillId="17" borderId="29" xfId="0" applyNumberFormat="1" applyFont="1" applyFill="1" applyBorder="1" applyAlignment="1">
      <alignment horizontal="right"/>
    </xf>
    <xf numFmtId="10" fontId="11" fillId="17" borderId="30" xfId="0" applyNumberFormat="1" applyFont="1" applyFill="1" applyBorder="1" applyAlignment="1">
      <alignment horizontal="right"/>
    </xf>
    <xf numFmtId="1" fontId="30" fillId="17" borderId="16" xfId="0" applyNumberFormat="1" applyFont="1" applyFill="1" applyBorder="1" applyAlignment="1">
      <alignment horizontal="center"/>
    </xf>
    <xf numFmtId="49" fontId="30" fillId="17" borderId="16" xfId="0" applyNumberFormat="1" applyFont="1" applyFill="1" applyBorder="1" applyAlignment="1">
      <alignment horizontal="left"/>
    </xf>
    <xf numFmtId="1" fontId="30" fillId="17" borderId="17" xfId="0" applyNumberFormat="1" applyFont="1" applyFill="1" applyBorder="1" applyAlignment="1">
      <alignment horizontal="center"/>
    </xf>
    <xf numFmtId="10" fontId="30" fillId="17" borderId="17" xfId="0" applyNumberFormat="1" applyFont="1" applyFill="1" applyBorder="1" applyAlignment="1">
      <alignment horizontal="right"/>
    </xf>
    <xf numFmtId="10" fontId="30" fillId="17" borderId="18" xfId="0" applyNumberFormat="1" applyFont="1" applyFill="1" applyBorder="1" applyAlignment="1">
      <alignment horizontal="right"/>
    </xf>
    <xf numFmtId="1" fontId="30" fillId="17" borderId="28" xfId="0" applyNumberFormat="1" applyFont="1" applyFill="1" applyBorder="1" applyAlignment="1">
      <alignment horizontal="center"/>
    </xf>
    <xf numFmtId="49" fontId="30" fillId="17" borderId="28" xfId="0" applyNumberFormat="1" applyFont="1" applyFill="1" applyBorder="1" applyAlignment="1">
      <alignment horizontal="left"/>
    </xf>
    <xf numFmtId="1" fontId="30" fillId="17" borderId="29" xfId="0" applyNumberFormat="1" applyFont="1" applyFill="1" applyBorder="1" applyAlignment="1">
      <alignment horizontal="center"/>
    </xf>
    <xf numFmtId="10" fontId="30" fillId="17" borderId="29" xfId="0" applyNumberFormat="1" applyFont="1" applyFill="1" applyBorder="1" applyAlignment="1">
      <alignment horizontal="right"/>
    </xf>
    <xf numFmtId="10" fontId="30" fillId="17" borderId="30" xfId="0" applyNumberFormat="1" applyFont="1" applyFill="1" applyBorder="1" applyAlignment="1">
      <alignment horizontal="right"/>
    </xf>
    <xf numFmtId="0" fontId="0" fillId="17" borderId="39" xfId="0" applyFill="1" applyBorder="1"/>
    <xf numFmtId="0" fontId="0" fillId="17" borderId="0" xfId="0" applyFill="1"/>
    <xf numFmtId="1" fontId="4" fillId="18" borderId="0" xfId="0" applyNumberFormat="1" applyFont="1" applyFill="1" applyAlignment="1">
      <alignment horizontal="center"/>
    </xf>
    <xf numFmtId="0" fontId="4" fillId="18" borderId="0" xfId="0" applyFont="1" applyFill="1" applyAlignment="1">
      <alignment horizontal="left"/>
    </xf>
    <xf numFmtId="10" fontId="4" fillId="18" borderId="0" xfId="0" applyNumberFormat="1" applyFont="1" applyFill="1" applyAlignment="1">
      <alignment horizontal="right"/>
    </xf>
    <xf numFmtId="1" fontId="3" fillId="18" borderId="0" xfId="0" applyNumberFormat="1" applyFont="1" applyFill="1" applyAlignment="1">
      <alignment horizontal="center"/>
    </xf>
    <xf numFmtId="3" fontId="3" fillId="18" borderId="0" xfId="0" applyNumberFormat="1" applyFont="1" applyFill="1" applyAlignment="1">
      <alignment horizontal="left"/>
    </xf>
    <xf numFmtId="10" fontId="3" fillId="18" borderId="0" xfId="0" applyNumberFormat="1" applyFont="1" applyFill="1" applyAlignment="1">
      <alignment horizontal="right"/>
    </xf>
    <xf numFmtId="1" fontId="6" fillId="18" borderId="4" xfId="0" applyNumberFormat="1" applyFont="1" applyFill="1" applyBorder="1" applyAlignment="1">
      <alignment horizontal="center" vertical="center" wrapText="1"/>
    </xf>
    <xf numFmtId="0" fontId="6" fillId="18" borderId="8" xfId="0" applyFont="1" applyFill="1" applyBorder="1" applyAlignment="1">
      <alignment horizontal="center" vertical="center" wrapText="1"/>
    </xf>
    <xf numFmtId="1" fontId="6" fillId="18" borderId="6" xfId="0" applyNumberFormat="1" applyFont="1" applyFill="1" applyBorder="1" applyAlignment="1">
      <alignment horizontal="center" vertical="center" wrapText="1"/>
    </xf>
    <xf numFmtId="10" fontId="6" fillId="18" borderId="6" xfId="0" applyNumberFormat="1" applyFont="1" applyFill="1" applyBorder="1" applyAlignment="1">
      <alignment horizontal="center" vertical="center" wrapText="1"/>
    </xf>
    <xf numFmtId="10" fontId="6" fillId="18" borderId="7" xfId="0" applyNumberFormat="1" applyFont="1" applyFill="1" applyBorder="1" applyAlignment="1">
      <alignment horizontal="center" vertical="center" wrapText="1"/>
    </xf>
    <xf numFmtId="1" fontId="3" fillId="18" borderId="9" xfId="0" applyNumberFormat="1" applyFont="1" applyFill="1" applyBorder="1" applyAlignment="1">
      <alignment horizontal="center"/>
    </xf>
    <xf numFmtId="49" fontId="3" fillId="18" borderId="13" xfId="0" applyNumberFormat="1" applyFont="1" applyFill="1" applyBorder="1" applyAlignment="1">
      <alignment horizontal="left"/>
    </xf>
    <xf numFmtId="1" fontId="3" fillId="18" borderId="14" xfId="0" applyNumberFormat="1" applyFont="1" applyFill="1" applyBorder="1" applyAlignment="1">
      <alignment horizontal="center"/>
    </xf>
    <xf numFmtId="10" fontId="3" fillId="18" borderId="10" xfId="0" applyNumberFormat="1" applyFont="1" applyFill="1" applyBorder="1" applyAlignment="1">
      <alignment horizontal="right"/>
    </xf>
    <xf numFmtId="10" fontId="3" fillId="18" borderId="11" xfId="0" applyNumberFormat="1" applyFont="1" applyFill="1" applyBorder="1" applyAlignment="1">
      <alignment horizontal="right"/>
    </xf>
    <xf numFmtId="1" fontId="3" fillId="18" borderId="15" xfId="0" applyNumberFormat="1" applyFont="1" applyFill="1" applyBorder="1" applyAlignment="1">
      <alignment horizontal="center"/>
    </xf>
    <xf numFmtId="49" fontId="3" fillId="18" borderId="19" xfId="0" applyNumberFormat="1" applyFont="1" applyFill="1" applyBorder="1" applyAlignment="1">
      <alignment horizontal="left"/>
    </xf>
    <xf numFmtId="1" fontId="3" fillId="18" borderId="20" xfId="0" applyNumberFormat="1" applyFont="1" applyFill="1" applyBorder="1" applyAlignment="1">
      <alignment horizontal="center"/>
    </xf>
    <xf numFmtId="10" fontId="3" fillId="18" borderId="16" xfId="0" applyNumberFormat="1" applyFont="1" applyFill="1" applyBorder="1" applyAlignment="1">
      <alignment horizontal="right"/>
    </xf>
    <xf numFmtId="10" fontId="3" fillId="18" borderId="17" xfId="0" applyNumberFormat="1" applyFont="1" applyFill="1" applyBorder="1" applyAlignment="1">
      <alignment horizontal="right"/>
    </xf>
    <xf numFmtId="1" fontId="5" fillId="18" borderId="15" xfId="0" applyNumberFormat="1" applyFont="1" applyFill="1" applyBorder="1" applyAlignment="1">
      <alignment horizontal="center"/>
    </xf>
    <xf numFmtId="49" fontId="5" fillId="18" borderId="19" xfId="0" applyNumberFormat="1" applyFont="1" applyFill="1" applyBorder="1" applyAlignment="1">
      <alignment horizontal="left"/>
    </xf>
    <xf numFmtId="1" fontId="7" fillId="18" borderId="20" xfId="0" applyNumberFormat="1" applyFont="1" applyFill="1" applyBorder="1" applyAlignment="1">
      <alignment horizontal="center"/>
    </xf>
    <xf numFmtId="10" fontId="7" fillId="18" borderId="16" xfId="0" applyNumberFormat="1" applyFont="1" applyFill="1" applyBorder="1" applyAlignment="1">
      <alignment horizontal="right"/>
    </xf>
    <xf numFmtId="10" fontId="7" fillId="18" borderId="17" xfId="0" applyNumberFormat="1" applyFont="1" applyFill="1" applyBorder="1" applyAlignment="1">
      <alignment horizontal="right"/>
    </xf>
    <xf numFmtId="1" fontId="9" fillId="18" borderId="20" xfId="0" applyNumberFormat="1" applyFont="1" applyFill="1" applyBorder="1" applyAlignment="1">
      <alignment horizontal="center"/>
    </xf>
    <xf numFmtId="10" fontId="9" fillId="18" borderId="16" xfId="0" applyNumberFormat="1" applyFont="1" applyFill="1" applyBorder="1" applyAlignment="1">
      <alignment horizontal="right"/>
    </xf>
    <xf numFmtId="10" fontId="9" fillId="18" borderId="17" xfId="0" applyNumberFormat="1" applyFont="1" applyFill="1" applyBorder="1" applyAlignment="1">
      <alignment horizontal="right"/>
    </xf>
    <xf numFmtId="1" fontId="10" fillId="18" borderId="15" xfId="0" applyNumberFormat="1" applyFont="1" applyFill="1" applyBorder="1" applyAlignment="1">
      <alignment horizontal="center"/>
    </xf>
    <xf numFmtId="49" fontId="10" fillId="18" borderId="19" xfId="0" applyNumberFormat="1" applyFont="1" applyFill="1" applyBorder="1" applyAlignment="1">
      <alignment horizontal="left"/>
    </xf>
    <xf numFmtId="1" fontId="11" fillId="18" borderId="20" xfId="0" applyNumberFormat="1" applyFont="1" applyFill="1" applyBorder="1" applyAlignment="1">
      <alignment horizontal="center"/>
    </xf>
    <xf numFmtId="10" fontId="11" fillId="18" borderId="16" xfId="0" applyNumberFormat="1" applyFont="1" applyFill="1" applyBorder="1" applyAlignment="1">
      <alignment horizontal="right"/>
    </xf>
    <xf numFmtId="10" fontId="11" fillId="18" borderId="17" xfId="0" applyNumberFormat="1" applyFont="1" applyFill="1" applyBorder="1" applyAlignment="1">
      <alignment horizontal="right"/>
    </xf>
    <xf numFmtId="1" fontId="12" fillId="18" borderId="20" xfId="0" applyNumberFormat="1" applyFont="1" applyFill="1" applyBorder="1" applyAlignment="1">
      <alignment horizontal="center"/>
    </xf>
    <xf numFmtId="10" fontId="12" fillId="18" borderId="16" xfId="0" applyNumberFormat="1" applyFont="1" applyFill="1" applyBorder="1" applyAlignment="1">
      <alignment horizontal="right"/>
    </xf>
    <xf numFmtId="10" fontId="12" fillId="18" borderId="17" xfId="0" applyNumberFormat="1" applyFont="1" applyFill="1" applyBorder="1" applyAlignment="1">
      <alignment horizontal="right"/>
    </xf>
    <xf numFmtId="1" fontId="18" fillId="18" borderId="20" xfId="0" applyNumberFormat="1" applyFont="1" applyFill="1" applyBorder="1" applyAlignment="1">
      <alignment horizontal="center"/>
    </xf>
    <xf numFmtId="10" fontId="18" fillId="18" borderId="16" xfId="0" applyNumberFormat="1" applyFont="1" applyFill="1" applyBorder="1" applyAlignment="1">
      <alignment horizontal="right"/>
    </xf>
    <xf numFmtId="10" fontId="18" fillId="18" borderId="17" xfId="0" applyNumberFormat="1" applyFont="1" applyFill="1" applyBorder="1" applyAlignment="1">
      <alignment horizontal="right"/>
    </xf>
    <xf numFmtId="1" fontId="16" fillId="18" borderId="20" xfId="0" applyNumberFormat="1" applyFont="1" applyFill="1" applyBorder="1" applyAlignment="1">
      <alignment horizontal="center"/>
    </xf>
    <xf numFmtId="10" fontId="16" fillId="18" borderId="16" xfId="0" applyNumberFormat="1" applyFont="1" applyFill="1" applyBorder="1" applyAlignment="1">
      <alignment horizontal="right"/>
    </xf>
    <xf numFmtId="10" fontId="16" fillId="18" borderId="17" xfId="0" applyNumberFormat="1" applyFont="1" applyFill="1" applyBorder="1" applyAlignment="1">
      <alignment horizontal="right"/>
    </xf>
    <xf numFmtId="1" fontId="3" fillId="18" borderId="15" xfId="0" quotePrefix="1" applyNumberFormat="1" applyFont="1" applyFill="1" applyBorder="1" applyAlignment="1">
      <alignment horizontal="center"/>
    </xf>
    <xf numFmtId="49" fontId="3" fillId="18" borderId="19" xfId="0" quotePrefix="1" applyNumberFormat="1" applyFont="1" applyFill="1" applyBorder="1" applyAlignment="1">
      <alignment horizontal="left"/>
    </xf>
    <xf numFmtId="1" fontId="3" fillId="18" borderId="20" xfId="0" quotePrefix="1" applyNumberFormat="1" applyFont="1" applyFill="1" applyBorder="1" applyAlignment="1">
      <alignment horizontal="center"/>
    </xf>
    <xf numFmtId="10" fontId="3" fillId="18" borderId="16" xfId="0" quotePrefix="1" applyNumberFormat="1" applyFont="1" applyFill="1" applyBorder="1" applyAlignment="1">
      <alignment horizontal="right"/>
    </xf>
    <xf numFmtId="10" fontId="3" fillId="18" borderId="17" xfId="0" quotePrefix="1" applyNumberFormat="1" applyFont="1" applyFill="1" applyBorder="1" applyAlignment="1">
      <alignment horizontal="right"/>
    </xf>
    <xf numFmtId="1" fontId="10" fillId="18" borderId="15" xfId="0" quotePrefix="1" applyNumberFormat="1" applyFont="1" applyFill="1" applyBorder="1" applyAlignment="1">
      <alignment horizontal="center"/>
    </xf>
    <xf numFmtId="49" fontId="10" fillId="18" borderId="19" xfId="0" quotePrefix="1" applyNumberFormat="1" applyFont="1" applyFill="1" applyBorder="1" applyAlignment="1">
      <alignment horizontal="left"/>
    </xf>
    <xf numFmtId="1" fontId="10" fillId="18" borderId="20" xfId="0" quotePrefix="1" applyNumberFormat="1" applyFont="1" applyFill="1" applyBorder="1" applyAlignment="1">
      <alignment horizontal="center"/>
    </xf>
    <xf numFmtId="10" fontId="10" fillId="18" borderId="16" xfId="0" quotePrefix="1" applyNumberFormat="1" applyFont="1" applyFill="1" applyBorder="1" applyAlignment="1">
      <alignment horizontal="right"/>
    </xf>
    <xf numFmtId="10" fontId="10" fillId="18" borderId="17" xfId="0" quotePrefix="1" applyNumberFormat="1" applyFont="1" applyFill="1" applyBorder="1" applyAlignment="1">
      <alignment horizontal="right"/>
    </xf>
    <xf numFmtId="1" fontId="15" fillId="18" borderId="20" xfId="0" applyNumberFormat="1" applyFont="1" applyFill="1" applyBorder="1" applyAlignment="1">
      <alignment horizontal="center"/>
    </xf>
    <xf numFmtId="10" fontId="15" fillId="18" borderId="16" xfId="0" applyNumberFormat="1" applyFont="1" applyFill="1" applyBorder="1" applyAlignment="1">
      <alignment horizontal="right"/>
    </xf>
    <xf numFmtId="10" fontId="15" fillId="18" borderId="17" xfId="0" applyNumberFormat="1" applyFont="1" applyFill="1" applyBorder="1" applyAlignment="1">
      <alignment horizontal="right"/>
    </xf>
    <xf numFmtId="1" fontId="13" fillId="18" borderId="15" xfId="0" applyNumberFormat="1" applyFont="1" applyFill="1" applyBorder="1" applyAlignment="1">
      <alignment horizontal="center"/>
    </xf>
    <xf numFmtId="49" fontId="4" fillId="18" borderId="19" xfId="0" applyNumberFormat="1" applyFont="1" applyFill="1" applyBorder="1" applyAlignment="1">
      <alignment horizontal="left"/>
    </xf>
    <xf numFmtId="1" fontId="14" fillId="18" borderId="20" xfId="0" applyNumberFormat="1" applyFont="1" applyFill="1" applyBorder="1" applyAlignment="1">
      <alignment horizontal="center"/>
    </xf>
    <xf numFmtId="10" fontId="14" fillId="18" borderId="16" xfId="0" applyNumberFormat="1" applyFont="1" applyFill="1" applyBorder="1" applyAlignment="1">
      <alignment horizontal="right"/>
    </xf>
    <xf numFmtId="10" fontId="14" fillId="18" borderId="17" xfId="0" applyNumberFormat="1" applyFont="1" applyFill="1" applyBorder="1" applyAlignment="1">
      <alignment horizontal="right"/>
    </xf>
    <xf numFmtId="1" fontId="5" fillId="18" borderId="20" xfId="0" applyNumberFormat="1" applyFont="1" applyFill="1" applyBorder="1" applyAlignment="1">
      <alignment horizontal="center"/>
    </xf>
    <xf numFmtId="10" fontId="5" fillId="18" borderId="17" xfId="0" applyNumberFormat="1" applyFont="1" applyFill="1" applyBorder="1" applyAlignment="1">
      <alignment horizontal="right"/>
    </xf>
    <xf numFmtId="1" fontId="10" fillId="18" borderId="20" xfId="0" applyNumberFormat="1" applyFont="1" applyFill="1" applyBorder="1" applyAlignment="1">
      <alignment horizontal="center"/>
    </xf>
    <xf numFmtId="10" fontId="10" fillId="18" borderId="17" xfId="0" applyNumberFormat="1" applyFont="1" applyFill="1" applyBorder="1" applyAlignment="1">
      <alignment horizontal="right"/>
    </xf>
    <xf numFmtId="1" fontId="21" fillId="18" borderId="20" xfId="0" applyNumberFormat="1" applyFont="1" applyFill="1" applyBorder="1" applyAlignment="1">
      <alignment horizontal="center"/>
    </xf>
    <xf numFmtId="10" fontId="21" fillId="18" borderId="16" xfId="0" applyNumberFormat="1" applyFont="1" applyFill="1" applyBorder="1" applyAlignment="1">
      <alignment horizontal="right"/>
    </xf>
    <xf numFmtId="10" fontId="21" fillId="18" borderId="17" xfId="0" applyNumberFormat="1" applyFont="1" applyFill="1" applyBorder="1" applyAlignment="1">
      <alignment horizontal="right"/>
    </xf>
    <xf numFmtId="1" fontId="10" fillId="18" borderId="21" xfId="0" applyNumberFormat="1" applyFont="1" applyFill="1" applyBorder="1" applyAlignment="1">
      <alignment horizontal="center"/>
    </xf>
    <xf numFmtId="49" fontId="10" fillId="18" borderId="25" xfId="0" applyNumberFormat="1" applyFont="1" applyFill="1" applyBorder="1" applyAlignment="1">
      <alignment horizontal="left"/>
    </xf>
    <xf numFmtId="1" fontId="16" fillId="18" borderId="26" xfId="0" applyNumberFormat="1" applyFont="1" applyFill="1" applyBorder="1" applyAlignment="1">
      <alignment horizontal="center"/>
    </xf>
    <xf numFmtId="10" fontId="16" fillId="18" borderId="22" xfId="0" applyNumberFormat="1" applyFont="1" applyFill="1" applyBorder="1" applyAlignment="1">
      <alignment horizontal="right"/>
    </xf>
    <xf numFmtId="10" fontId="16" fillId="18" borderId="23" xfId="0" applyNumberFormat="1" applyFont="1" applyFill="1" applyBorder="1" applyAlignment="1">
      <alignment horizontal="right"/>
    </xf>
    <xf numFmtId="1" fontId="5" fillId="18" borderId="21" xfId="0" applyNumberFormat="1" applyFont="1" applyFill="1" applyBorder="1" applyAlignment="1">
      <alignment horizontal="center"/>
    </xf>
    <xf numFmtId="49" fontId="5" fillId="18" borderId="25" xfId="0" applyNumberFormat="1" applyFont="1" applyFill="1" applyBorder="1" applyAlignment="1">
      <alignment horizontal="left"/>
    </xf>
    <xf numFmtId="1" fontId="7" fillId="18" borderId="26" xfId="0" applyNumberFormat="1" applyFont="1" applyFill="1" applyBorder="1" applyAlignment="1">
      <alignment horizontal="center"/>
    </xf>
    <xf numFmtId="10" fontId="7" fillId="18" borderId="22" xfId="0" applyNumberFormat="1" applyFont="1" applyFill="1" applyBorder="1" applyAlignment="1">
      <alignment horizontal="right"/>
    </xf>
    <xf numFmtId="10" fontId="7" fillId="18" borderId="23" xfId="0" applyNumberFormat="1" applyFont="1" applyFill="1" applyBorder="1" applyAlignment="1">
      <alignment horizontal="right"/>
    </xf>
    <xf numFmtId="1" fontId="5" fillId="18" borderId="27" xfId="0" applyNumberFormat="1" applyFont="1" applyFill="1" applyBorder="1" applyAlignment="1">
      <alignment horizontal="center"/>
    </xf>
    <xf numFmtId="49" fontId="5" fillId="18" borderId="31" xfId="0" applyNumberFormat="1" applyFont="1" applyFill="1" applyBorder="1" applyAlignment="1">
      <alignment horizontal="left"/>
    </xf>
    <xf numFmtId="1" fontId="5" fillId="18" borderId="32" xfId="0" applyNumberFormat="1" applyFont="1" applyFill="1" applyBorder="1" applyAlignment="1">
      <alignment horizontal="center"/>
    </xf>
    <xf numFmtId="10" fontId="5" fillId="18" borderId="28" xfId="0" applyNumberFormat="1" applyFont="1" applyFill="1" applyBorder="1" applyAlignment="1">
      <alignment horizontal="right"/>
    </xf>
    <xf numFmtId="10" fontId="5" fillId="18" borderId="29" xfId="0" applyNumberFormat="1" applyFont="1" applyFill="1" applyBorder="1" applyAlignment="1">
      <alignment horizontal="right"/>
    </xf>
    <xf numFmtId="1" fontId="3" fillId="18" borderId="33" xfId="0" applyNumberFormat="1" applyFont="1" applyFill="1" applyBorder="1" applyAlignment="1">
      <alignment horizontal="center"/>
    </xf>
    <xf numFmtId="49" fontId="3" fillId="18" borderId="37" xfId="0" applyNumberFormat="1" applyFont="1" applyFill="1" applyBorder="1" applyAlignment="1">
      <alignment horizontal="left"/>
    </xf>
    <xf numFmtId="1" fontId="3" fillId="18" borderId="38" xfId="0" applyNumberFormat="1" applyFont="1" applyFill="1" applyBorder="1" applyAlignment="1">
      <alignment horizontal="center"/>
    </xf>
    <xf numFmtId="10" fontId="3" fillId="18" borderId="34" xfId="0" applyNumberFormat="1" applyFont="1" applyFill="1" applyBorder="1" applyAlignment="1">
      <alignment horizontal="right"/>
    </xf>
    <xf numFmtId="10" fontId="3" fillId="18" borderId="35" xfId="0" applyNumberFormat="1" applyFont="1" applyFill="1" applyBorder="1" applyAlignment="1">
      <alignment horizontal="right"/>
    </xf>
    <xf numFmtId="1" fontId="21" fillId="18" borderId="15" xfId="0" applyNumberFormat="1" applyFont="1" applyFill="1" applyBorder="1" applyAlignment="1">
      <alignment horizontal="center"/>
    </xf>
    <xf numFmtId="49" fontId="21" fillId="18" borderId="19" xfId="0" applyNumberFormat="1" applyFont="1" applyFill="1" applyBorder="1" applyAlignment="1">
      <alignment horizontal="left"/>
    </xf>
    <xf numFmtId="1" fontId="20" fillId="18" borderId="20" xfId="0" applyNumberFormat="1" applyFont="1" applyFill="1" applyBorder="1" applyAlignment="1">
      <alignment horizontal="center"/>
    </xf>
    <xf numFmtId="10" fontId="20" fillId="18" borderId="16" xfId="0" applyNumberFormat="1" applyFont="1" applyFill="1" applyBorder="1" applyAlignment="1">
      <alignment horizontal="right"/>
    </xf>
    <xf numFmtId="10" fontId="20" fillId="18" borderId="17" xfId="0" applyNumberFormat="1" applyFont="1" applyFill="1" applyBorder="1" applyAlignment="1">
      <alignment horizontal="right"/>
    </xf>
    <xf numFmtId="1" fontId="3" fillId="18" borderId="21" xfId="0" applyNumberFormat="1" applyFont="1" applyFill="1" applyBorder="1" applyAlignment="1">
      <alignment horizontal="center"/>
    </xf>
    <xf numFmtId="49" fontId="3" fillId="18" borderId="25" xfId="0" applyNumberFormat="1" applyFont="1" applyFill="1" applyBorder="1" applyAlignment="1">
      <alignment horizontal="left"/>
    </xf>
    <xf numFmtId="1" fontId="3" fillId="18" borderId="26" xfId="0" applyNumberFormat="1" applyFont="1" applyFill="1" applyBorder="1" applyAlignment="1">
      <alignment horizontal="center"/>
    </xf>
    <xf numFmtId="10" fontId="3" fillId="18" borderId="22" xfId="0" applyNumberFormat="1" applyFont="1" applyFill="1" applyBorder="1" applyAlignment="1">
      <alignment horizontal="right"/>
    </xf>
    <xf numFmtId="10" fontId="3" fillId="18" borderId="23" xfId="0" applyNumberFormat="1" applyFont="1" applyFill="1" applyBorder="1" applyAlignment="1">
      <alignment horizontal="right"/>
    </xf>
    <xf numFmtId="1" fontId="11" fillId="18" borderId="26" xfId="0" applyNumberFormat="1" applyFont="1" applyFill="1" applyBorder="1" applyAlignment="1">
      <alignment horizontal="center"/>
    </xf>
    <xf numFmtId="10" fontId="11" fillId="18" borderId="22" xfId="0" applyNumberFormat="1" applyFont="1" applyFill="1" applyBorder="1" applyAlignment="1">
      <alignment horizontal="right"/>
    </xf>
    <xf numFmtId="10" fontId="11" fillId="18" borderId="23" xfId="0" applyNumberFormat="1" applyFont="1" applyFill="1" applyBorder="1" applyAlignment="1">
      <alignment horizontal="right"/>
    </xf>
    <xf numFmtId="1" fontId="1" fillId="18" borderId="27" xfId="0" applyNumberFormat="1" applyFont="1" applyFill="1" applyBorder="1" applyAlignment="1">
      <alignment horizontal="center"/>
    </xf>
    <xf numFmtId="49" fontId="1" fillId="18" borderId="31" xfId="0" applyNumberFormat="1" applyFont="1" applyFill="1" applyBorder="1" applyAlignment="1">
      <alignment horizontal="left"/>
    </xf>
    <xf numFmtId="1" fontId="24" fillId="18" borderId="32" xfId="0" applyNumberFormat="1" applyFont="1" applyFill="1" applyBorder="1" applyAlignment="1">
      <alignment horizontal="center"/>
    </xf>
    <xf numFmtId="10" fontId="24" fillId="18" borderId="28" xfId="0" applyNumberFormat="1" applyFont="1" applyFill="1" applyBorder="1" applyAlignment="1">
      <alignment horizontal="right"/>
    </xf>
    <xf numFmtId="10" fontId="24" fillId="18" borderId="29" xfId="0" applyNumberFormat="1" applyFont="1" applyFill="1" applyBorder="1" applyAlignment="1">
      <alignment horizontal="right"/>
    </xf>
    <xf numFmtId="1" fontId="1" fillId="18" borderId="15" xfId="0" applyNumberFormat="1" applyFont="1" applyFill="1" applyBorder="1" applyAlignment="1">
      <alignment horizontal="center"/>
    </xf>
    <xf numFmtId="49" fontId="1" fillId="18" borderId="19" xfId="0" applyNumberFormat="1" applyFont="1" applyFill="1" applyBorder="1" applyAlignment="1">
      <alignment horizontal="left"/>
    </xf>
    <xf numFmtId="1" fontId="25" fillId="18" borderId="20" xfId="0" applyNumberFormat="1" applyFont="1" applyFill="1" applyBorder="1" applyAlignment="1">
      <alignment horizontal="center"/>
    </xf>
    <xf numFmtId="10" fontId="25" fillId="18" borderId="16" xfId="0" applyNumberFormat="1" applyFont="1" applyFill="1" applyBorder="1" applyAlignment="1">
      <alignment horizontal="right"/>
    </xf>
    <xf numFmtId="10" fontId="25" fillId="18" borderId="17" xfId="0" applyNumberFormat="1" applyFont="1" applyFill="1" applyBorder="1" applyAlignment="1">
      <alignment horizontal="right"/>
    </xf>
    <xf numFmtId="1" fontId="10" fillId="18" borderId="27" xfId="0" applyNumberFormat="1" applyFont="1" applyFill="1" applyBorder="1" applyAlignment="1">
      <alignment horizontal="center"/>
    </xf>
    <xf numFmtId="49" fontId="10" fillId="18" borderId="31" xfId="0" applyNumberFormat="1" applyFont="1" applyFill="1" applyBorder="1" applyAlignment="1">
      <alignment horizontal="left"/>
    </xf>
    <xf numFmtId="1" fontId="10" fillId="18" borderId="32" xfId="0" applyNumberFormat="1" applyFont="1" applyFill="1" applyBorder="1" applyAlignment="1">
      <alignment horizontal="center"/>
    </xf>
    <xf numFmtId="10" fontId="10" fillId="18" borderId="28" xfId="0" applyNumberFormat="1" applyFont="1" applyFill="1" applyBorder="1" applyAlignment="1">
      <alignment horizontal="right"/>
    </xf>
    <xf numFmtId="10" fontId="10" fillId="18" borderId="29" xfId="0" applyNumberFormat="1" applyFont="1" applyFill="1" applyBorder="1" applyAlignment="1">
      <alignment horizontal="right"/>
    </xf>
    <xf numFmtId="10" fontId="10" fillId="18" borderId="16" xfId="0" applyNumberFormat="1" applyFont="1" applyFill="1" applyBorder="1" applyAlignment="1">
      <alignment horizontal="right"/>
    </xf>
    <xf numFmtId="1" fontId="3" fillId="18" borderId="27" xfId="0" applyNumberFormat="1" applyFont="1" applyFill="1" applyBorder="1" applyAlignment="1">
      <alignment horizontal="center"/>
    </xf>
    <xf numFmtId="49" fontId="3" fillId="18" borderId="31" xfId="0" applyNumberFormat="1" applyFont="1" applyFill="1" applyBorder="1" applyAlignment="1">
      <alignment horizontal="left"/>
    </xf>
    <xf numFmtId="1" fontId="3" fillId="18" borderId="32" xfId="0" applyNumberFormat="1" applyFont="1" applyFill="1" applyBorder="1" applyAlignment="1">
      <alignment horizontal="center"/>
    </xf>
    <xf numFmtId="10" fontId="3" fillId="18" borderId="28" xfId="0" applyNumberFormat="1" applyFont="1" applyFill="1" applyBorder="1" applyAlignment="1">
      <alignment horizontal="right"/>
    </xf>
    <xf numFmtId="10" fontId="3" fillId="18" borderId="29" xfId="0" applyNumberFormat="1" applyFont="1" applyFill="1" applyBorder="1" applyAlignment="1">
      <alignment horizontal="right"/>
    </xf>
    <xf numFmtId="1" fontId="10" fillId="18" borderId="33" xfId="0" applyNumberFormat="1" applyFont="1" applyFill="1" applyBorder="1" applyAlignment="1">
      <alignment horizontal="center"/>
    </xf>
    <xf numFmtId="49" fontId="10" fillId="18" borderId="37" xfId="0" applyNumberFormat="1" applyFont="1" applyFill="1" applyBorder="1" applyAlignment="1">
      <alignment horizontal="left"/>
    </xf>
    <xf numFmtId="1" fontId="16" fillId="18" borderId="38" xfId="0" applyNumberFormat="1" applyFont="1" applyFill="1" applyBorder="1" applyAlignment="1">
      <alignment horizontal="center"/>
    </xf>
    <xf numFmtId="10" fontId="16" fillId="18" borderId="34" xfId="0" applyNumberFormat="1" applyFont="1" applyFill="1" applyBorder="1" applyAlignment="1">
      <alignment horizontal="right"/>
    </xf>
    <xf numFmtId="10" fontId="16" fillId="18" borderId="35" xfId="0" applyNumberFormat="1" applyFont="1" applyFill="1" applyBorder="1" applyAlignment="1">
      <alignment horizontal="right"/>
    </xf>
    <xf numFmtId="1" fontId="8" fillId="18" borderId="15" xfId="0" applyNumberFormat="1" applyFont="1" applyFill="1" applyBorder="1" applyAlignment="1">
      <alignment horizontal="center"/>
    </xf>
    <xf numFmtId="1" fontId="27" fillId="18" borderId="27" xfId="0" applyNumberFormat="1" applyFont="1" applyFill="1" applyBorder="1" applyAlignment="1">
      <alignment horizontal="center"/>
    </xf>
    <xf numFmtId="49" fontId="27" fillId="18" borderId="31" xfId="0" applyNumberFormat="1" applyFont="1" applyFill="1" applyBorder="1" applyAlignment="1">
      <alignment horizontal="left"/>
    </xf>
    <xf numFmtId="1" fontId="27" fillId="18" borderId="32" xfId="0" applyNumberFormat="1" applyFont="1" applyFill="1" applyBorder="1" applyAlignment="1">
      <alignment horizontal="center"/>
    </xf>
    <xf numFmtId="10" fontId="27" fillId="18" borderId="28" xfId="0" applyNumberFormat="1" applyFont="1" applyFill="1" applyBorder="1" applyAlignment="1">
      <alignment horizontal="right"/>
    </xf>
    <xf numFmtId="10" fontId="27" fillId="18" borderId="29" xfId="0" applyNumberFormat="1" applyFont="1" applyFill="1" applyBorder="1" applyAlignment="1">
      <alignment horizontal="right"/>
    </xf>
    <xf numFmtId="1" fontId="13" fillId="18" borderId="33" xfId="0" applyNumberFormat="1" applyFont="1" applyFill="1" applyBorder="1" applyAlignment="1">
      <alignment horizontal="center"/>
    </xf>
    <xf numFmtId="1" fontId="7" fillId="18" borderId="38" xfId="0" applyNumberFormat="1" applyFont="1" applyFill="1" applyBorder="1" applyAlignment="1">
      <alignment horizontal="center"/>
    </xf>
    <xf numFmtId="10" fontId="7" fillId="18" borderId="34" xfId="0" applyNumberFormat="1" applyFont="1" applyFill="1" applyBorder="1" applyAlignment="1">
      <alignment horizontal="right"/>
    </xf>
    <xf numFmtId="10" fontId="7" fillId="18" borderId="35" xfId="0" applyNumberFormat="1" applyFont="1" applyFill="1" applyBorder="1" applyAlignment="1">
      <alignment horizontal="right"/>
    </xf>
    <xf numFmtId="1" fontId="18" fillId="18" borderId="38" xfId="0" applyNumberFormat="1" applyFont="1" applyFill="1" applyBorder="1" applyAlignment="1">
      <alignment horizontal="center"/>
    </xf>
    <xf numFmtId="10" fontId="18" fillId="18" borderId="34" xfId="0" applyNumberFormat="1" applyFont="1" applyFill="1" applyBorder="1" applyAlignment="1">
      <alignment horizontal="right"/>
    </xf>
    <xf numFmtId="10" fontId="18" fillId="18" borderId="35" xfId="0" applyNumberFormat="1" applyFont="1" applyFill="1" applyBorder="1" applyAlignment="1">
      <alignment horizontal="right"/>
    </xf>
    <xf numFmtId="1" fontId="27" fillId="18" borderId="15" xfId="0" applyNumberFormat="1" applyFont="1" applyFill="1" applyBorder="1" applyAlignment="1">
      <alignment horizontal="center"/>
    </xf>
    <xf numFmtId="49" fontId="27" fillId="18" borderId="19" xfId="0" applyNumberFormat="1" applyFont="1" applyFill="1" applyBorder="1" applyAlignment="1">
      <alignment horizontal="left"/>
    </xf>
    <xf numFmtId="1" fontId="27" fillId="18" borderId="20" xfId="0" applyNumberFormat="1" applyFont="1" applyFill="1" applyBorder="1" applyAlignment="1">
      <alignment horizontal="center"/>
    </xf>
    <xf numFmtId="10" fontId="27" fillId="18" borderId="16" xfId="0" applyNumberFormat="1" applyFont="1" applyFill="1" applyBorder="1" applyAlignment="1">
      <alignment horizontal="right"/>
    </xf>
    <xf numFmtId="10" fontId="27" fillId="18" borderId="17" xfId="0" applyNumberFormat="1" applyFont="1" applyFill="1" applyBorder="1" applyAlignment="1">
      <alignment horizontal="right"/>
    </xf>
    <xf numFmtId="1" fontId="5" fillId="18" borderId="26" xfId="0" applyNumberFormat="1" applyFont="1" applyFill="1" applyBorder="1" applyAlignment="1">
      <alignment horizontal="center"/>
    </xf>
    <xf numFmtId="10" fontId="5" fillId="18" borderId="22" xfId="0" applyNumberFormat="1" applyFont="1" applyFill="1" applyBorder="1" applyAlignment="1">
      <alignment horizontal="right"/>
    </xf>
    <xf numFmtId="10" fontId="5" fillId="18" borderId="23" xfId="0" applyNumberFormat="1" applyFont="1" applyFill="1" applyBorder="1" applyAlignment="1">
      <alignment horizontal="right"/>
    </xf>
    <xf numFmtId="1" fontId="10" fillId="18" borderId="26" xfId="0" applyNumberFormat="1" applyFont="1" applyFill="1" applyBorder="1" applyAlignment="1">
      <alignment horizontal="center"/>
    </xf>
    <xf numFmtId="10" fontId="10" fillId="18" borderId="22" xfId="0" applyNumberFormat="1" applyFont="1" applyFill="1" applyBorder="1" applyAlignment="1">
      <alignment horizontal="right"/>
    </xf>
    <xf numFmtId="10" fontId="10" fillId="18" borderId="23" xfId="0" applyNumberFormat="1" applyFont="1" applyFill="1" applyBorder="1" applyAlignment="1">
      <alignment horizontal="right"/>
    </xf>
    <xf numFmtId="1" fontId="5" fillId="18" borderId="19" xfId="0" applyNumberFormat="1" applyFont="1" applyFill="1" applyBorder="1" applyAlignment="1">
      <alignment horizontal="center"/>
    </xf>
    <xf numFmtId="49" fontId="5" fillId="18" borderId="16" xfId="0" applyNumberFormat="1" applyFont="1" applyFill="1" applyBorder="1" applyAlignment="1">
      <alignment horizontal="left"/>
    </xf>
    <xf numFmtId="1" fontId="12" fillId="18" borderId="16" xfId="0" applyNumberFormat="1" applyFont="1" applyFill="1" applyBorder="1" applyAlignment="1">
      <alignment horizontal="center"/>
    </xf>
    <xf numFmtId="1" fontId="5" fillId="18" borderId="31" xfId="0" applyNumberFormat="1" applyFont="1" applyFill="1" applyBorder="1" applyAlignment="1">
      <alignment horizontal="center"/>
    </xf>
    <xf numFmtId="49" fontId="5" fillId="18" borderId="28" xfId="0" applyNumberFormat="1" applyFont="1" applyFill="1" applyBorder="1" applyAlignment="1">
      <alignment horizontal="left"/>
    </xf>
    <xf numFmtId="1" fontId="12" fillId="18" borderId="28" xfId="0" applyNumberFormat="1" applyFont="1" applyFill="1" applyBorder="1" applyAlignment="1">
      <alignment horizontal="center"/>
    </xf>
    <xf numFmtId="10" fontId="12" fillId="18" borderId="28" xfId="0" applyNumberFormat="1" applyFont="1" applyFill="1" applyBorder="1" applyAlignment="1">
      <alignment horizontal="right"/>
    </xf>
    <xf numFmtId="10" fontId="12" fillId="18" borderId="29" xfId="0" applyNumberFormat="1" applyFont="1" applyFill="1" applyBorder="1" applyAlignment="1">
      <alignment horizontal="right"/>
    </xf>
    <xf numFmtId="10" fontId="5" fillId="18" borderId="16" xfId="0" applyNumberFormat="1" applyFont="1" applyFill="1" applyBorder="1" applyAlignment="1">
      <alignment horizontal="right"/>
    </xf>
    <xf numFmtId="1" fontId="27" fillId="18" borderId="21" xfId="0" applyNumberFormat="1" applyFont="1" applyFill="1" applyBorder="1" applyAlignment="1">
      <alignment horizontal="center"/>
    </xf>
    <xf numFmtId="49" fontId="27" fillId="18" borderId="25" xfId="0" applyNumberFormat="1" applyFont="1" applyFill="1" applyBorder="1" applyAlignment="1">
      <alignment horizontal="left"/>
    </xf>
    <xf numFmtId="1" fontId="27" fillId="18" borderId="26" xfId="0" applyNumberFormat="1" applyFont="1" applyFill="1" applyBorder="1" applyAlignment="1">
      <alignment horizontal="center"/>
    </xf>
    <xf numFmtId="10" fontId="27" fillId="18" borderId="22" xfId="0" applyNumberFormat="1" applyFont="1" applyFill="1" applyBorder="1" applyAlignment="1">
      <alignment horizontal="right"/>
    </xf>
    <xf numFmtId="10" fontId="27" fillId="18" borderId="23" xfId="0" applyNumberFormat="1" applyFont="1" applyFill="1" applyBorder="1" applyAlignment="1">
      <alignment horizontal="right"/>
    </xf>
    <xf numFmtId="1" fontId="11" fillId="18" borderId="32" xfId="0" applyNumberFormat="1" applyFont="1" applyFill="1" applyBorder="1" applyAlignment="1">
      <alignment horizontal="center"/>
    </xf>
    <xf numFmtId="10" fontId="11" fillId="18" borderId="28" xfId="0" applyNumberFormat="1" applyFont="1" applyFill="1" applyBorder="1" applyAlignment="1">
      <alignment horizontal="right"/>
    </xf>
    <xf numFmtId="10" fontId="11" fillId="18" borderId="29" xfId="0" applyNumberFormat="1" applyFont="1" applyFill="1" applyBorder="1" applyAlignment="1">
      <alignment horizontal="right"/>
    </xf>
    <xf numFmtId="1" fontId="30" fillId="18" borderId="15" xfId="0" applyNumberFormat="1" applyFont="1" applyFill="1" applyBorder="1" applyAlignment="1">
      <alignment horizontal="center"/>
    </xf>
    <xf numFmtId="49" fontId="30" fillId="18" borderId="19" xfId="0" applyNumberFormat="1" applyFont="1" applyFill="1" applyBorder="1" applyAlignment="1">
      <alignment horizontal="left"/>
    </xf>
    <xf numFmtId="1" fontId="30" fillId="18" borderId="20" xfId="0" applyNumberFormat="1" applyFont="1" applyFill="1" applyBorder="1" applyAlignment="1">
      <alignment horizontal="center"/>
    </xf>
    <xf numFmtId="10" fontId="30" fillId="18" borderId="16" xfId="0" applyNumberFormat="1" applyFont="1" applyFill="1" applyBorder="1" applyAlignment="1">
      <alignment horizontal="right"/>
    </xf>
    <xf numFmtId="10" fontId="30" fillId="18" borderId="17" xfId="0" applyNumberFormat="1" applyFont="1" applyFill="1" applyBorder="1" applyAlignment="1">
      <alignment horizontal="right"/>
    </xf>
    <xf numFmtId="1" fontId="30" fillId="18" borderId="27" xfId="0" applyNumberFormat="1" applyFont="1" applyFill="1" applyBorder="1" applyAlignment="1">
      <alignment horizontal="center"/>
    </xf>
    <xf numFmtId="49" fontId="30" fillId="18" borderId="31" xfId="0" applyNumberFormat="1" applyFont="1" applyFill="1" applyBorder="1" applyAlignment="1">
      <alignment horizontal="left"/>
    </xf>
    <xf numFmtId="1" fontId="30" fillId="18" borderId="32" xfId="0" applyNumberFormat="1" applyFont="1" applyFill="1" applyBorder="1" applyAlignment="1">
      <alignment horizontal="center"/>
    </xf>
    <xf numFmtId="10" fontId="30" fillId="18" borderId="28" xfId="0" applyNumberFormat="1" applyFont="1" applyFill="1" applyBorder="1" applyAlignment="1">
      <alignment horizontal="right"/>
    </xf>
    <xf numFmtId="10" fontId="30" fillId="18" borderId="29" xfId="0" applyNumberFormat="1" applyFont="1" applyFill="1" applyBorder="1" applyAlignment="1">
      <alignment horizontal="right"/>
    </xf>
    <xf numFmtId="0" fontId="0" fillId="18" borderId="0" xfId="0" applyFill="1"/>
    <xf numFmtId="1" fontId="4" fillId="19" borderId="0" xfId="0" applyNumberFormat="1" applyFont="1" applyFill="1" applyAlignment="1">
      <alignment horizontal="center"/>
    </xf>
    <xf numFmtId="0" fontId="4" fillId="19" borderId="0" xfId="0" applyFont="1" applyFill="1" applyAlignment="1">
      <alignment horizontal="left"/>
    </xf>
    <xf numFmtId="10" fontId="4" fillId="19" borderId="0" xfId="0" applyNumberFormat="1" applyFont="1" applyFill="1" applyAlignment="1">
      <alignment horizontal="right"/>
    </xf>
    <xf numFmtId="1" fontId="3" fillId="19" borderId="0" xfId="0" applyNumberFormat="1" applyFont="1" applyFill="1" applyAlignment="1">
      <alignment horizontal="center"/>
    </xf>
    <xf numFmtId="3" fontId="3" fillId="19" borderId="0" xfId="0" applyNumberFormat="1" applyFont="1" applyFill="1" applyAlignment="1">
      <alignment horizontal="left"/>
    </xf>
    <xf numFmtId="10" fontId="3" fillId="19" borderId="0" xfId="0" applyNumberFormat="1" applyFont="1" applyFill="1" applyAlignment="1">
      <alignment horizontal="right"/>
    </xf>
    <xf numFmtId="1" fontId="6" fillId="19" borderId="4" xfId="0" applyNumberFormat="1" applyFont="1" applyFill="1" applyBorder="1" applyAlignment="1">
      <alignment horizontal="center" vertical="center" wrapText="1"/>
    </xf>
    <xf numFmtId="0" fontId="6" fillId="19" borderId="5" xfId="0" applyFont="1" applyFill="1" applyBorder="1" applyAlignment="1">
      <alignment horizontal="center" vertical="center" wrapText="1"/>
    </xf>
    <xf numFmtId="1" fontId="6" fillId="19" borderId="6" xfId="0" applyNumberFormat="1" applyFont="1" applyFill="1" applyBorder="1" applyAlignment="1">
      <alignment horizontal="center" vertical="center" wrapText="1"/>
    </xf>
    <xf numFmtId="10" fontId="6" fillId="19" borderId="6" xfId="0" applyNumberFormat="1" applyFont="1" applyFill="1" applyBorder="1" applyAlignment="1">
      <alignment horizontal="center" vertical="center" wrapText="1"/>
    </xf>
    <xf numFmtId="10" fontId="6" fillId="19" borderId="7" xfId="0" applyNumberFormat="1" applyFont="1" applyFill="1" applyBorder="1" applyAlignment="1">
      <alignment horizontal="center" vertical="center" wrapText="1"/>
    </xf>
    <xf numFmtId="1" fontId="3" fillId="19" borderId="9" xfId="0" applyNumberFormat="1" applyFont="1" applyFill="1" applyBorder="1" applyAlignment="1">
      <alignment horizontal="center"/>
    </xf>
    <xf numFmtId="49" fontId="3" fillId="19" borderId="10" xfId="0" applyNumberFormat="1" applyFont="1" applyFill="1" applyBorder="1" applyAlignment="1">
      <alignment horizontal="left"/>
    </xf>
    <xf numFmtId="1" fontId="3" fillId="19" borderId="11" xfId="0" applyNumberFormat="1" applyFont="1" applyFill="1" applyBorder="1" applyAlignment="1">
      <alignment horizontal="center"/>
    </xf>
    <xf numFmtId="10" fontId="3" fillId="19" borderId="11" xfId="0" applyNumberFormat="1" applyFont="1" applyFill="1" applyBorder="1" applyAlignment="1">
      <alignment horizontal="right"/>
    </xf>
    <xf numFmtId="10" fontId="3" fillId="19" borderId="12" xfId="0" applyNumberFormat="1" applyFont="1" applyFill="1" applyBorder="1" applyAlignment="1">
      <alignment horizontal="right"/>
    </xf>
    <xf numFmtId="1" fontId="3" fillId="19" borderId="15" xfId="0" applyNumberFormat="1" applyFont="1" applyFill="1" applyBorder="1" applyAlignment="1">
      <alignment horizontal="center"/>
    </xf>
    <xf numFmtId="49" fontId="3" fillId="19" borderId="16" xfId="0" applyNumberFormat="1" applyFont="1" applyFill="1" applyBorder="1" applyAlignment="1">
      <alignment horizontal="left"/>
    </xf>
    <xf numFmtId="1" fontId="3" fillId="19" borderId="17" xfId="0" applyNumberFormat="1" applyFont="1" applyFill="1" applyBorder="1" applyAlignment="1">
      <alignment horizontal="center"/>
    </xf>
    <xf numFmtId="10" fontId="3" fillId="19" borderId="17" xfId="0" applyNumberFormat="1" applyFont="1" applyFill="1" applyBorder="1" applyAlignment="1">
      <alignment horizontal="right"/>
    </xf>
    <xf numFmtId="10" fontId="3" fillId="19" borderId="18" xfId="0" applyNumberFormat="1" applyFont="1" applyFill="1" applyBorder="1" applyAlignment="1">
      <alignment horizontal="right"/>
    </xf>
    <xf numFmtId="1" fontId="8" fillId="19" borderId="15" xfId="0" applyNumberFormat="1" applyFont="1" applyFill="1" applyBorder="1" applyAlignment="1">
      <alignment horizontal="center"/>
    </xf>
    <xf numFmtId="49" fontId="5" fillId="19" borderId="16" xfId="0" applyNumberFormat="1" applyFont="1" applyFill="1" applyBorder="1" applyAlignment="1">
      <alignment horizontal="left"/>
    </xf>
    <xf numFmtId="1" fontId="7" fillId="19" borderId="17" xfId="0" applyNumberFormat="1" applyFont="1" applyFill="1" applyBorder="1" applyAlignment="1">
      <alignment horizontal="center"/>
    </xf>
    <xf numFmtId="10" fontId="7" fillId="19" borderId="17" xfId="0" applyNumberFormat="1" applyFont="1" applyFill="1" applyBorder="1" applyAlignment="1">
      <alignment horizontal="right"/>
    </xf>
    <xf numFmtId="10" fontId="7" fillId="19" borderId="18" xfId="0" applyNumberFormat="1" applyFont="1" applyFill="1" applyBorder="1" applyAlignment="1">
      <alignment horizontal="right"/>
    </xf>
    <xf numFmtId="1" fontId="5" fillId="19" borderId="15" xfId="0" applyNumberFormat="1" applyFont="1" applyFill="1" applyBorder="1" applyAlignment="1">
      <alignment horizontal="center"/>
    </xf>
    <xf numFmtId="1" fontId="9" fillId="19" borderId="17" xfId="0" applyNumberFormat="1" applyFont="1" applyFill="1" applyBorder="1" applyAlignment="1">
      <alignment horizontal="center"/>
    </xf>
    <xf numFmtId="10" fontId="9" fillId="19" borderId="17" xfId="0" applyNumberFormat="1" applyFont="1" applyFill="1" applyBorder="1" applyAlignment="1">
      <alignment horizontal="right"/>
    </xf>
    <xf numFmtId="10" fontId="9" fillId="19" borderId="18" xfId="0" applyNumberFormat="1" applyFont="1" applyFill="1" applyBorder="1" applyAlignment="1">
      <alignment horizontal="right"/>
    </xf>
    <xf numFmtId="1" fontId="10" fillId="19" borderId="15" xfId="0" applyNumberFormat="1" applyFont="1" applyFill="1" applyBorder="1" applyAlignment="1">
      <alignment horizontal="center"/>
    </xf>
    <xf numFmtId="49" fontId="10" fillId="19" borderId="16" xfId="0" applyNumberFormat="1" applyFont="1" applyFill="1" applyBorder="1" applyAlignment="1">
      <alignment horizontal="left"/>
    </xf>
    <xf numFmtId="1" fontId="11" fillId="19" borderId="17" xfId="0" applyNumberFormat="1" applyFont="1" applyFill="1" applyBorder="1" applyAlignment="1">
      <alignment horizontal="center"/>
    </xf>
    <xf numFmtId="10" fontId="11" fillId="19" borderId="17" xfId="0" applyNumberFormat="1" applyFont="1" applyFill="1" applyBorder="1" applyAlignment="1">
      <alignment horizontal="right"/>
    </xf>
    <xf numFmtId="10" fontId="11" fillId="19" borderId="18" xfId="0" applyNumberFormat="1" applyFont="1" applyFill="1" applyBorder="1" applyAlignment="1">
      <alignment horizontal="right"/>
    </xf>
    <xf numFmtId="10" fontId="10" fillId="19" borderId="18" xfId="0" applyNumberFormat="1" applyFont="1" applyFill="1" applyBorder="1" applyAlignment="1">
      <alignment horizontal="right"/>
    </xf>
    <xf numFmtId="1" fontId="13" fillId="19" borderId="15" xfId="0" applyNumberFormat="1" applyFont="1" applyFill="1" applyBorder="1" applyAlignment="1">
      <alignment horizontal="center"/>
    </xf>
    <xf numFmtId="10" fontId="14" fillId="19" borderId="17" xfId="0" applyNumberFormat="1" applyFont="1" applyFill="1" applyBorder="1" applyAlignment="1">
      <alignment horizontal="right"/>
    </xf>
    <xf numFmtId="1" fontId="14" fillId="19" borderId="17" xfId="0" applyNumberFormat="1" applyFont="1" applyFill="1" applyBorder="1" applyAlignment="1">
      <alignment horizontal="center"/>
    </xf>
    <xf numFmtId="10" fontId="14" fillId="19" borderId="18" xfId="0" applyNumberFormat="1" applyFont="1" applyFill="1" applyBorder="1" applyAlignment="1">
      <alignment horizontal="right"/>
    </xf>
    <xf numFmtId="1" fontId="15" fillId="19" borderId="17" xfId="0" applyNumberFormat="1" applyFont="1" applyFill="1" applyBorder="1" applyAlignment="1">
      <alignment horizontal="center"/>
    </xf>
    <xf numFmtId="10" fontId="15" fillId="19" borderId="17" xfId="0" applyNumberFormat="1" applyFont="1" applyFill="1" applyBorder="1" applyAlignment="1">
      <alignment horizontal="right"/>
    </xf>
    <xf numFmtId="10" fontId="15" fillId="19" borderId="18" xfId="0" applyNumberFormat="1" applyFont="1" applyFill="1" applyBorder="1" applyAlignment="1">
      <alignment horizontal="right"/>
    </xf>
    <xf numFmtId="1" fontId="12" fillId="19" borderId="17" xfId="0" applyNumberFormat="1" applyFont="1" applyFill="1" applyBorder="1" applyAlignment="1">
      <alignment horizontal="center"/>
    </xf>
    <xf numFmtId="10" fontId="12" fillId="19" borderId="17" xfId="0" applyNumberFormat="1" applyFont="1" applyFill="1" applyBorder="1" applyAlignment="1">
      <alignment horizontal="right"/>
    </xf>
    <xf numFmtId="10" fontId="12" fillId="19" borderId="18" xfId="0" applyNumberFormat="1" applyFont="1" applyFill="1" applyBorder="1" applyAlignment="1">
      <alignment horizontal="right"/>
    </xf>
    <xf numFmtId="1" fontId="16" fillId="19" borderId="17" xfId="0" applyNumberFormat="1" applyFont="1" applyFill="1" applyBorder="1" applyAlignment="1">
      <alignment horizontal="center"/>
    </xf>
    <xf numFmtId="10" fontId="17" fillId="19" borderId="17" xfId="0" applyNumberFormat="1" applyFont="1" applyFill="1" applyBorder="1" applyAlignment="1">
      <alignment horizontal="right"/>
    </xf>
    <xf numFmtId="1" fontId="17" fillId="19" borderId="17" xfId="0" applyNumberFormat="1" applyFont="1" applyFill="1" applyBorder="1" applyAlignment="1">
      <alignment horizontal="center"/>
    </xf>
    <xf numFmtId="10" fontId="17" fillId="19" borderId="18" xfId="0" applyNumberFormat="1" applyFont="1" applyFill="1" applyBorder="1" applyAlignment="1">
      <alignment horizontal="right"/>
    </xf>
    <xf numFmtId="1" fontId="3" fillId="19" borderId="15" xfId="0" quotePrefix="1" applyNumberFormat="1" applyFont="1" applyFill="1" applyBorder="1" applyAlignment="1">
      <alignment horizontal="center"/>
    </xf>
    <xf numFmtId="10" fontId="3" fillId="19" borderId="18" xfId="0" quotePrefix="1" applyNumberFormat="1" applyFont="1" applyFill="1" applyBorder="1" applyAlignment="1">
      <alignment horizontal="right"/>
    </xf>
    <xf numFmtId="49" fontId="3" fillId="19" borderId="16" xfId="0" quotePrefix="1" applyNumberFormat="1" applyFont="1" applyFill="1" applyBorder="1" applyAlignment="1">
      <alignment horizontal="left"/>
    </xf>
    <xf numFmtId="1" fontId="3" fillId="19" borderId="17" xfId="0" quotePrefix="1" applyNumberFormat="1" applyFont="1" applyFill="1" applyBorder="1" applyAlignment="1">
      <alignment horizontal="center"/>
    </xf>
    <xf numFmtId="10" fontId="3" fillId="19" borderId="17" xfId="0" quotePrefix="1" applyNumberFormat="1" applyFont="1" applyFill="1" applyBorder="1" applyAlignment="1">
      <alignment horizontal="right"/>
    </xf>
    <xf numFmtId="1" fontId="10" fillId="19" borderId="15" xfId="0" quotePrefix="1" applyNumberFormat="1" applyFont="1" applyFill="1" applyBorder="1" applyAlignment="1">
      <alignment horizontal="center"/>
    </xf>
    <xf numFmtId="49" fontId="10" fillId="19" borderId="16" xfId="0" quotePrefix="1" applyNumberFormat="1" applyFont="1" applyFill="1" applyBorder="1" applyAlignment="1">
      <alignment horizontal="left"/>
    </xf>
    <xf numFmtId="1" fontId="10" fillId="19" borderId="17" xfId="0" quotePrefix="1" applyNumberFormat="1" applyFont="1" applyFill="1" applyBorder="1" applyAlignment="1">
      <alignment horizontal="center"/>
    </xf>
    <xf numFmtId="10" fontId="10" fillId="19" borderId="17" xfId="0" quotePrefix="1" applyNumberFormat="1" applyFont="1" applyFill="1" applyBorder="1" applyAlignment="1">
      <alignment horizontal="right"/>
    </xf>
    <xf numFmtId="10" fontId="10" fillId="19" borderId="18" xfId="0" quotePrefix="1" applyNumberFormat="1" applyFont="1" applyFill="1" applyBorder="1" applyAlignment="1">
      <alignment horizontal="right"/>
    </xf>
    <xf numFmtId="1" fontId="19" fillId="19" borderId="15" xfId="0" applyNumberFormat="1" applyFont="1" applyFill="1" applyBorder="1" applyAlignment="1">
      <alignment horizontal="center"/>
    </xf>
    <xf numFmtId="10" fontId="16" fillId="19" borderId="17" xfId="0" applyNumberFormat="1" applyFont="1" applyFill="1" applyBorder="1" applyAlignment="1">
      <alignment horizontal="right"/>
    </xf>
    <xf numFmtId="10" fontId="16" fillId="19" borderId="18" xfId="0" applyNumberFormat="1" applyFont="1" applyFill="1" applyBorder="1" applyAlignment="1">
      <alignment horizontal="right"/>
    </xf>
    <xf numFmtId="1" fontId="18" fillId="19" borderId="17" xfId="0" applyNumberFormat="1" applyFont="1" applyFill="1" applyBorder="1" applyAlignment="1">
      <alignment horizontal="center"/>
    </xf>
    <xf numFmtId="10" fontId="18" fillId="19" borderId="17" xfId="0" applyNumberFormat="1" applyFont="1" applyFill="1" applyBorder="1" applyAlignment="1">
      <alignment horizontal="right"/>
    </xf>
    <xf numFmtId="10" fontId="18" fillId="19" borderId="18" xfId="0" applyNumberFormat="1" applyFont="1" applyFill="1" applyBorder="1" applyAlignment="1">
      <alignment horizontal="right"/>
    </xf>
    <xf numFmtId="1" fontId="20" fillId="19" borderId="17" xfId="0" applyNumberFormat="1" applyFont="1" applyFill="1" applyBorder="1" applyAlignment="1">
      <alignment horizontal="center"/>
    </xf>
    <xf numFmtId="10" fontId="20" fillId="19" borderId="17" xfId="0" applyNumberFormat="1" applyFont="1" applyFill="1" applyBorder="1" applyAlignment="1">
      <alignment horizontal="right"/>
    </xf>
    <xf numFmtId="10" fontId="20" fillId="19" borderId="18" xfId="0" applyNumberFormat="1" applyFont="1" applyFill="1" applyBorder="1" applyAlignment="1">
      <alignment horizontal="right"/>
    </xf>
    <xf numFmtId="1" fontId="5" fillId="19" borderId="17" xfId="0" applyNumberFormat="1" applyFont="1" applyFill="1" applyBorder="1" applyAlignment="1">
      <alignment horizontal="center"/>
    </xf>
    <xf numFmtId="10" fontId="5" fillId="19" borderId="18" xfId="0" applyNumberFormat="1" applyFont="1" applyFill="1" applyBorder="1" applyAlignment="1">
      <alignment horizontal="right"/>
    </xf>
    <xf numFmtId="1" fontId="10" fillId="19" borderId="17" xfId="0" applyNumberFormat="1" applyFont="1" applyFill="1" applyBorder="1" applyAlignment="1">
      <alignment horizontal="center"/>
    </xf>
    <xf numFmtId="49" fontId="4" fillId="19" borderId="16" xfId="0" applyNumberFormat="1" applyFont="1" applyFill="1" applyBorder="1" applyAlignment="1">
      <alignment horizontal="left"/>
    </xf>
    <xf numFmtId="1" fontId="21" fillId="19" borderId="17" xfId="0" applyNumberFormat="1" applyFont="1" applyFill="1" applyBorder="1" applyAlignment="1">
      <alignment horizontal="center"/>
    </xf>
    <xf numFmtId="10" fontId="21" fillId="19" borderId="17" xfId="0" applyNumberFormat="1" applyFont="1" applyFill="1" applyBorder="1" applyAlignment="1">
      <alignment horizontal="right"/>
    </xf>
    <xf numFmtId="10" fontId="21" fillId="19" borderId="18" xfId="0" applyNumberFormat="1" applyFont="1" applyFill="1" applyBorder="1" applyAlignment="1">
      <alignment horizontal="right"/>
    </xf>
    <xf numFmtId="1" fontId="10" fillId="19" borderId="21" xfId="0" applyNumberFormat="1" applyFont="1" applyFill="1" applyBorder="1" applyAlignment="1">
      <alignment horizontal="center"/>
    </xf>
    <xf numFmtId="49" fontId="10" fillId="19" borderId="22" xfId="0" applyNumberFormat="1" applyFont="1" applyFill="1" applyBorder="1" applyAlignment="1">
      <alignment horizontal="left"/>
    </xf>
    <xf numFmtId="1" fontId="16" fillId="19" borderId="23" xfId="0" applyNumberFormat="1" applyFont="1" applyFill="1" applyBorder="1" applyAlignment="1">
      <alignment horizontal="center"/>
    </xf>
    <xf numFmtId="10" fontId="16" fillId="19" borderId="23" xfId="0" applyNumberFormat="1" applyFont="1" applyFill="1" applyBorder="1" applyAlignment="1">
      <alignment horizontal="right"/>
    </xf>
    <xf numFmtId="10" fontId="16" fillId="19" borderId="24" xfId="0" applyNumberFormat="1" applyFont="1" applyFill="1" applyBorder="1" applyAlignment="1">
      <alignment horizontal="right"/>
    </xf>
    <xf numFmtId="1" fontId="5" fillId="19" borderId="21" xfId="0" applyNumberFormat="1" applyFont="1" applyFill="1" applyBorder="1" applyAlignment="1">
      <alignment horizontal="center"/>
    </xf>
    <xf numFmtId="49" fontId="5" fillId="19" borderId="22" xfId="0" applyNumberFormat="1" applyFont="1" applyFill="1" applyBorder="1" applyAlignment="1">
      <alignment horizontal="left"/>
    </xf>
    <xf numFmtId="1" fontId="7" fillId="19" borderId="23" xfId="0" applyNumberFormat="1" applyFont="1" applyFill="1" applyBorder="1" applyAlignment="1">
      <alignment horizontal="center"/>
    </xf>
    <xf numFmtId="10" fontId="7" fillId="19" borderId="23" xfId="0" applyNumberFormat="1" applyFont="1" applyFill="1" applyBorder="1" applyAlignment="1">
      <alignment horizontal="right"/>
    </xf>
    <xf numFmtId="10" fontId="7" fillId="19" borderId="24" xfId="0" applyNumberFormat="1" applyFont="1" applyFill="1" applyBorder="1" applyAlignment="1">
      <alignment horizontal="right"/>
    </xf>
    <xf numFmtId="1" fontId="5" fillId="19" borderId="27" xfId="0" applyNumberFormat="1" applyFont="1" applyFill="1" applyBorder="1" applyAlignment="1">
      <alignment horizontal="center"/>
    </xf>
    <xf numFmtId="49" fontId="5" fillId="19" borderId="28" xfId="0" applyNumberFormat="1" applyFont="1" applyFill="1" applyBorder="1" applyAlignment="1">
      <alignment horizontal="left"/>
    </xf>
    <xf numFmtId="1" fontId="5" fillId="19" borderId="29" xfId="0" applyNumberFormat="1" applyFont="1" applyFill="1" applyBorder="1" applyAlignment="1">
      <alignment horizontal="center"/>
    </xf>
    <xf numFmtId="10" fontId="5" fillId="19" borderId="29" xfId="0" applyNumberFormat="1" applyFont="1" applyFill="1" applyBorder="1" applyAlignment="1">
      <alignment horizontal="right"/>
    </xf>
    <xf numFmtId="10" fontId="5" fillId="19" borderId="30" xfId="0" applyNumberFormat="1" applyFont="1" applyFill="1" applyBorder="1" applyAlignment="1">
      <alignment horizontal="right"/>
    </xf>
    <xf numFmtId="1" fontId="3" fillId="19" borderId="33" xfId="0" applyNumberFormat="1" applyFont="1" applyFill="1" applyBorder="1" applyAlignment="1">
      <alignment horizontal="center"/>
    </xf>
    <xf numFmtId="49" fontId="3" fillId="19" borderId="34" xfId="0" applyNumberFormat="1" applyFont="1" applyFill="1" applyBorder="1" applyAlignment="1">
      <alignment horizontal="left"/>
    </xf>
    <xf numFmtId="1" fontId="3" fillId="19" borderId="35" xfId="0" applyNumberFormat="1" applyFont="1" applyFill="1" applyBorder="1" applyAlignment="1">
      <alignment horizontal="center"/>
    </xf>
    <xf numFmtId="10" fontId="3" fillId="19" borderId="35" xfId="0" applyNumberFormat="1" applyFont="1" applyFill="1" applyBorder="1" applyAlignment="1">
      <alignment horizontal="right"/>
    </xf>
    <xf numFmtId="10" fontId="3" fillId="19" borderId="36" xfId="0" applyNumberFormat="1" applyFont="1" applyFill="1" applyBorder="1" applyAlignment="1">
      <alignment horizontal="right"/>
    </xf>
    <xf numFmtId="1" fontId="21" fillId="19" borderId="15" xfId="0" applyNumberFormat="1" applyFont="1" applyFill="1" applyBorder="1" applyAlignment="1">
      <alignment horizontal="center"/>
    </xf>
    <xf numFmtId="49" fontId="21" fillId="19" borderId="16" xfId="0" applyNumberFormat="1" applyFont="1" applyFill="1" applyBorder="1" applyAlignment="1">
      <alignment horizontal="left"/>
    </xf>
    <xf numFmtId="1" fontId="3" fillId="19" borderId="21" xfId="0" applyNumberFormat="1" applyFont="1" applyFill="1" applyBorder="1" applyAlignment="1">
      <alignment horizontal="center"/>
    </xf>
    <xf numFmtId="49" fontId="3" fillId="19" borderId="22" xfId="0" applyNumberFormat="1" applyFont="1" applyFill="1" applyBorder="1" applyAlignment="1">
      <alignment horizontal="left"/>
    </xf>
    <xf numFmtId="1" fontId="3" fillId="19" borderId="23" xfId="0" applyNumberFormat="1" applyFont="1" applyFill="1" applyBorder="1" applyAlignment="1">
      <alignment horizontal="center"/>
    </xf>
    <xf numFmtId="10" fontId="3" fillId="19" borderId="23" xfId="0" applyNumberFormat="1" applyFont="1" applyFill="1" applyBorder="1" applyAlignment="1">
      <alignment horizontal="right"/>
    </xf>
    <xf numFmtId="10" fontId="3" fillId="19" borderId="24" xfId="0" applyNumberFormat="1" applyFont="1" applyFill="1" applyBorder="1" applyAlignment="1">
      <alignment horizontal="right"/>
    </xf>
    <xf numFmtId="1" fontId="11" fillId="19" borderId="23" xfId="0" applyNumberFormat="1" applyFont="1" applyFill="1" applyBorder="1" applyAlignment="1">
      <alignment horizontal="center"/>
    </xf>
    <xf numFmtId="10" fontId="11" fillId="19" borderId="23" xfId="0" applyNumberFormat="1" applyFont="1" applyFill="1" applyBorder="1" applyAlignment="1">
      <alignment horizontal="right"/>
    </xf>
    <xf numFmtId="10" fontId="11" fillId="19" borderId="24" xfId="0" applyNumberFormat="1" applyFont="1" applyFill="1" applyBorder="1" applyAlignment="1">
      <alignment horizontal="right"/>
    </xf>
    <xf numFmtId="1" fontId="1" fillId="19" borderId="27" xfId="0" applyNumberFormat="1" applyFont="1" applyFill="1" applyBorder="1" applyAlignment="1">
      <alignment horizontal="center"/>
    </xf>
    <xf numFmtId="49" fontId="1" fillId="19" borderId="28" xfId="0" applyNumberFormat="1" applyFont="1" applyFill="1" applyBorder="1" applyAlignment="1">
      <alignment horizontal="left"/>
    </xf>
    <xf numFmtId="1" fontId="24" fillId="19" borderId="29" xfId="0" applyNumberFormat="1" applyFont="1" applyFill="1" applyBorder="1" applyAlignment="1">
      <alignment horizontal="center"/>
    </xf>
    <xf numFmtId="10" fontId="24" fillId="19" borderId="29" xfId="0" applyNumberFormat="1" applyFont="1" applyFill="1" applyBorder="1" applyAlignment="1">
      <alignment horizontal="right"/>
    </xf>
    <xf numFmtId="10" fontId="24" fillId="19" borderId="30" xfId="0" applyNumberFormat="1" applyFont="1" applyFill="1" applyBorder="1" applyAlignment="1">
      <alignment horizontal="right"/>
    </xf>
    <xf numFmtId="1" fontId="1" fillId="19" borderId="15" xfId="0" applyNumberFormat="1" applyFont="1" applyFill="1" applyBorder="1" applyAlignment="1">
      <alignment horizontal="center"/>
    </xf>
    <xf numFmtId="49" fontId="1" fillId="19" borderId="16" xfId="0" applyNumberFormat="1" applyFont="1" applyFill="1" applyBorder="1" applyAlignment="1">
      <alignment horizontal="left"/>
    </xf>
    <xf numFmtId="1" fontId="25" fillId="19" borderId="17" xfId="0" applyNumberFormat="1" applyFont="1" applyFill="1" applyBorder="1" applyAlignment="1">
      <alignment horizontal="center"/>
    </xf>
    <xf numFmtId="10" fontId="25" fillId="19" borderId="17" xfId="0" applyNumberFormat="1" applyFont="1" applyFill="1" applyBorder="1" applyAlignment="1">
      <alignment horizontal="right"/>
    </xf>
    <xf numFmtId="10" fontId="25" fillId="19" borderId="18" xfId="0" applyNumberFormat="1" applyFont="1" applyFill="1" applyBorder="1" applyAlignment="1">
      <alignment horizontal="right"/>
    </xf>
    <xf numFmtId="1" fontId="10" fillId="19" borderId="27" xfId="0" applyNumberFormat="1" applyFont="1" applyFill="1" applyBorder="1" applyAlignment="1">
      <alignment horizontal="center"/>
    </xf>
    <xf numFmtId="49" fontId="10" fillId="19" borderId="28" xfId="0" applyNumberFormat="1" applyFont="1" applyFill="1" applyBorder="1" applyAlignment="1">
      <alignment horizontal="left"/>
    </xf>
    <xf numFmtId="1" fontId="10" fillId="19" borderId="29" xfId="0" applyNumberFormat="1" applyFont="1" applyFill="1" applyBorder="1" applyAlignment="1">
      <alignment horizontal="center"/>
    </xf>
    <xf numFmtId="10" fontId="10" fillId="19" borderId="29" xfId="0" applyNumberFormat="1" applyFont="1" applyFill="1" applyBorder="1" applyAlignment="1">
      <alignment horizontal="right"/>
    </xf>
    <xf numFmtId="10" fontId="10" fillId="19" borderId="30" xfId="0" applyNumberFormat="1" applyFont="1" applyFill="1" applyBorder="1" applyAlignment="1">
      <alignment horizontal="right"/>
    </xf>
    <xf numFmtId="10" fontId="10" fillId="19" borderId="17" xfId="0" applyNumberFormat="1" applyFont="1" applyFill="1" applyBorder="1" applyAlignment="1">
      <alignment horizontal="right"/>
    </xf>
    <xf numFmtId="1" fontId="3" fillId="19" borderId="27" xfId="0" applyNumberFormat="1" applyFont="1" applyFill="1" applyBorder="1" applyAlignment="1">
      <alignment horizontal="center"/>
    </xf>
    <xf numFmtId="49" fontId="3" fillId="19" borderId="28" xfId="0" applyNumberFormat="1" applyFont="1" applyFill="1" applyBorder="1" applyAlignment="1">
      <alignment horizontal="left"/>
    </xf>
    <xf numFmtId="1" fontId="3" fillId="19" borderId="29" xfId="0" applyNumberFormat="1" applyFont="1" applyFill="1" applyBorder="1" applyAlignment="1">
      <alignment horizontal="center"/>
    </xf>
    <xf numFmtId="10" fontId="3" fillId="19" borderId="29" xfId="0" applyNumberFormat="1" applyFont="1" applyFill="1" applyBorder="1" applyAlignment="1">
      <alignment horizontal="right"/>
    </xf>
    <xf numFmtId="10" fontId="3" fillId="19" borderId="30" xfId="0" applyNumberFormat="1" applyFont="1" applyFill="1" applyBorder="1" applyAlignment="1">
      <alignment horizontal="right"/>
    </xf>
    <xf numFmtId="1" fontId="10" fillId="19" borderId="33" xfId="0" applyNumberFormat="1" applyFont="1" applyFill="1" applyBorder="1" applyAlignment="1">
      <alignment horizontal="center"/>
    </xf>
    <xf numFmtId="49" fontId="10" fillId="19" borderId="34" xfId="0" applyNumberFormat="1" applyFont="1" applyFill="1" applyBorder="1" applyAlignment="1">
      <alignment horizontal="left"/>
    </xf>
    <xf numFmtId="1" fontId="15" fillId="19" borderId="35" xfId="0" applyNumberFormat="1" applyFont="1" applyFill="1" applyBorder="1" applyAlignment="1">
      <alignment horizontal="center"/>
    </xf>
    <xf numFmtId="10" fontId="15" fillId="19" borderId="35" xfId="0" applyNumberFormat="1" applyFont="1" applyFill="1" applyBorder="1" applyAlignment="1">
      <alignment horizontal="right"/>
    </xf>
    <xf numFmtId="10" fontId="15" fillId="19" borderId="36" xfId="0" applyNumberFormat="1" applyFont="1" applyFill="1" applyBorder="1" applyAlignment="1">
      <alignment horizontal="right"/>
    </xf>
    <xf numFmtId="1" fontId="27" fillId="19" borderId="27" xfId="0" applyNumberFormat="1" applyFont="1" applyFill="1" applyBorder="1" applyAlignment="1">
      <alignment horizontal="center"/>
    </xf>
    <xf numFmtId="49" fontId="27" fillId="19" borderId="28" xfId="0" applyNumberFormat="1" applyFont="1" applyFill="1" applyBorder="1" applyAlignment="1">
      <alignment horizontal="left"/>
    </xf>
    <xf numFmtId="1" fontId="27" fillId="19" borderId="29" xfId="0" applyNumberFormat="1" applyFont="1" applyFill="1" applyBorder="1" applyAlignment="1">
      <alignment horizontal="center"/>
    </xf>
    <xf numFmtId="10" fontId="27" fillId="19" borderId="29" xfId="0" applyNumberFormat="1" applyFont="1" applyFill="1" applyBorder="1" applyAlignment="1">
      <alignment horizontal="right"/>
    </xf>
    <xf numFmtId="10" fontId="27" fillId="19" borderId="30" xfId="0" applyNumberFormat="1" applyFont="1" applyFill="1" applyBorder="1" applyAlignment="1">
      <alignment horizontal="right"/>
    </xf>
    <xf numFmtId="1" fontId="7" fillId="19" borderId="35" xfId="0" applyNumberFormat="1" applyFont="1" applyFill="1" applyBorder="1" applyAlignment="1">
      <alignment horizontal="center"/>
    </xf>
    <xf numFmtId="10" fontId="7" fillId="19" borderId="35" xfId="0" applyNumberFormat="1" applyFont="1" applyFill="1" applyBorder="1" applyAlignment="1">
      <alignment horizontal="right"/>
    </xf>
    <xf numFmtId="10" fontId="7" fillId="19" borderId="36" xfId="0" applyNumberFormat="1" applyFont="1" applyFill="1" applyBorder="1" applyAlignment="1">
      <alignment horizontal="right"/>
    </xf>
    <xf numFmtId="1" fontId="13" fillId="19" borderId="33" xfId="0" applyNumberFormat="1" applyFont="1" applyFill="1" applyBorder="1" applyAlignment="1">
      <alignment horizontal="center"/>
    </xf>
    <xf numFmtId="1" fontId="18" fillId="19" borderId="35" xfId="0" applyNumberFormat="1" applyFont="1" applyFill="1" applyBorder="1" applyAlignment="1">
      <alignment horizontal="center"/>
    </xf>
    <xf numFmtId="10" fontId="18" fillId="19" borderId="35" xfId="0" applyNumberFormat="1" applyFont="1" applyFill="1" applyBorder="1" applyAlignment="1">
      <alignment horizontal="right"/>
    </xf>
    <xf numFmtId="10" fontId="18" fillId="19" borderId="36" xfId="0" applyNumberFormat="1" applyFont="1" applyFill="1" applyBorder="1" applyAlignment="1">
      <alignment horizontal="right"/>
    </xf>
    <xf numFmtId="1" fontId="27" fillId="19" borderId="15" xfId="0" applyNumberFormat="1" applyFont="1" applyFill="1" applyBorder="1" applyAlignment="1">
      <alignment horizontal="center"/>
    </xf>
    <xf numFmtId="49" fontId="27" fillId="19" borderId="16" xfId="0" applyNumberFormat="1" applyFont="1" applyFill="1" applyBorder="1" applyAlignment="1">
      <alignment horizontal="left"/>
    </xf>
    <xf numFmtId="1" fontId="27" fillId="19" borderId="17" xfId="0" applyNumberFormat="1" applyFont="1" applyFill="1" applyBorder="1" applyAlignment="1">
      <alignment horizontal="center"/>
    </xf>
    <xf numFmtId="10" fontId="27" fillId="19" borderId="17" xfId="0" applyNumberFormat="1" applyFont="1" applyFill="1" applyBorder="1" applyAlignment="1">
      <alignment horizontal="right"/>
    </xf>
    <xf numFmtId="10" fontId="27" fillId="19" borderId="18" xfId="0" applyNumberFormat="1" applyFont="1" applyFill="1" applyBorder="1" applyAlignment="1">
      <alignment horizontal="right"/>
    </xf>
    <xf numFmtId="1" fontId="5" fillId="19" borderId="23" xfId="0" applyNumberFormat="1" applyFont="1" applyFill="1" applyBorder="1" applyAlignment="1">
      <alignment horizontal="center"/>
    </xf>
    <xf numFmtId="10" fontId="5" fillId="19" borderId="23" xfId="0" applyNumberFormat="1" applyFont="1" applyFill="1" applyBorder="1" applyAlignment="1">
      <alignment horizontal="right"/>
    </xf>
    <xf numFmtId="10" fontId="5" fillId="19" borderId="24" xfId="0" applyNumberFormat="1" applyFont="1" applyFill="1" applyBorder="1" applyAlignment="1">
      <alignment horizontal="right"/>
    </xf>
    <xf numFmtId="1" fontId="10" fillId="19" borderId="23" xfId="0" applyNumberFormat="1" applyFont="1" applyFill="1" applyBorder="1" applyAlignment="1">
      <alignment horizontal="center"/>
    </xf>
    <xf numFmtId="10" fontId="10" fillId="19" borderId="23" xfId="0" applyNumberFormat="1" applyFont="1" applyFill="1" applyBorder="1" applyAlignment="1">
      <alignment horizontal="right"/>
    </xf>
    <xf numFmtId="10" fontId="10" fillId="19" borderId="24" xfId="0" applyNumberFormat="1" applyFont="1" applyFill="1" applyBorder="1" applyAlignment="1">
      <alignment horizontal="right"/>
    </xf>
    <xf numFmtId="1" fontId="7" fillId="19" borderId="16" xfId="0" applyNumberFormat="1" applyFont="1" applyFill="1" applyBorder="1" applyAlignment="1">
      <alignment horizontal="center"/>
    </xf>
    <xf numFmtId="10" fontId="7" fillId="19" borderId="16" xfId="0" applyNumberFormat="1" applyFont="1" applyFill="1" applyBorder="1" applyAlignment="1">
      <alignment horizontal="right"/>
    </xf>
    <xf numFmtId="1" fontId="7" fillId="19" borderId="28" xfId="0" applyNumberFormat="1" applyFont="1" applyFill="1" applyBorder="1" applyAlignment="1">
      <alignment horizontal="center"/>
    </xf>
    <xf numFmtId="10" fontId="7" fillId="19" borderId="28" xfId="0" applyNumberFormat="1" applyFont="1" applyFill="1" applyBorder="1" applyAlignment="1">
      <alignment horizontal="right"/>
    </xf>
    <xf numFmtId="10" fontId="7" fillId="19" borderId="30" xfId="0" applyNumberFormat="1" applyFont="1" applyFill="1" applyBorder="1" applyAlignment="1">
      <alignment horizontal="right"/>
    </xf>
    <xf numFmtId="1" fontId="16" fillId="19" borderId="35" xfId="0" applyNumberFormat="1" applyFont="1" applyFill="1" applyBorder="1" applyAlignment="1">
      <alignment horizontal="center"/>
    </xf>
    <xf numFmtId="10" fontId="16" fillId="19" borderId="35" xfId="0" applyNumberFormat="1" applyFont="1" applyFill="1" applyBorder="1" applyAlignment="1">
      <alignment horizontal="right"/>
    </xf>
    <xf numFmtId="10" fontId="16" fillId="19" borderId="36" xfId="0" applyNumberFormat="1" applyFont="1" applyFill="1" applyBorder="1" applyAlignment="1">
      <alignment horizontal="right"/>
    </xf>
    <xf numFmtId="1" fontId="15" fillId="19" borderId="23" xfId="0" applyNumberFormat="1" applyFont="1" applyFill="1" applyBorder="1" applyAlignment="1">
      <alignment horizontal="center"/>
    </xf>
    <xf numFmtId="10" fontId="15" fillId="19" borderId="23" xfId="0" applyNumberFormat="1" applyFont="1" applyFill="1" applyBorder="1" applyAlignment="1">
      <alignment horizontal="right"/>
    </xf>
    <xf numFmtId="10" fontId="15" fillId="19" borderId="24" xfId="0" applyNumberFormat="1" applyFont="1" applyFill="1" applyBorder="1" applyAlignment="1">
      <alignment horizontal="right"/>
    </xf>
    <xf numFmtId="10" fontId="5" fillId="19" borderId="17" xfId="0" applyNumberFormat="1" applyFont="1" applyFill="1" applyBorder="1" applyAlignment="1">
      <alignment horizontal="right"/>
    </xf>
    <xf numFmtId="1" fontId="27" fillId="19" borderId="21" xfId="0" applyNumberFormat="1" applyFont="1" applyFill="1" applyBorder="1" applyAlignment="1">
      <alignment horizontal="center"/>
    </xf>
    <xf numFmtId="49" fontId="27" fillId="19" borderId="22" xfId="0" applyNumberFormat="1" applyFont="1" applyFill="1" applyBorder="1" applyAlignment="1">
      <alignment horizontal="left"/>
    </xf>
    <xf numFmtId="1" fontId="27" fillId="19" borderId="23" xfId="0" applyNumberFormat="1" applyFont="1" applyFill="1" applyBorder="1" applyAlignment="1">
      <alignment horizontal="center"/>
    </xf>
    <xf numFmtId="10" fontId="27" fillId="19" borderId="23" xfId="0" applyNumberFormat="1" applyFont="1" applyFill="1" applyBorder="1" applyAlignment="1">
      <alignment horizontal="right"/>
    </xf>
    <xf numFmtId="10" fontId="27" fillId="19" borderId="24" xfId="0" applyNumberFormat="1" applyFont="1" applyFill="1" applyBorder="1" applyAlignment="1">
      <alignment horizontal="right"/>
    </xf>
    <xf numFmtId="1" fontId="11" fillId="19" borderId="29" xfId="0" applyNumberFormat="1" applyFont="1" applyFill="1" applyBorder="1" applyAlignment="1">
      <alignment horizontal="center"/>
    </xf>
    <xf numFmtId="10" fontId="11" fillId="19" borderId="29" xfId="0" applyNumberFormat="1" applyFont="1" applyFill="1" applyBorder="1" applyAlignment="1">
      <alignment horizontal="right"/>
    </xf>
    <xf numFmtId="10" fontId="11" fillId="19" borderId="30" xfId="0" applyNumberFormat="1" applyFont="1" applyFill="1" applyBorder="1" applyAlignment="1">
      <alignment horizontal="right"/>
    </xf>
    <xf numFmtId="1" fontId="30" fillId="19" borderId="15" xfId="0" applyNumberFormat="1" applyFont="1" applyFill="1" applyBorder="1" applyAlignment="1">
      <alignment horizontal="center"/>
    </xf>
    <xf numFmtId="49" fontId="30" fillId="19" borderId="16" xfId="0" applyNumberFormat="1" applyFont="1" applyFill="1" applyBorder="1" applyAlignment="1">
      <alignment horizontal="left"/>
    </xf>
    <xf numFmtId="1" fontId="30" fillId="19" borderId="17" xfId="0" applyNumberFormat="1" applyFont="1" applyFill="1" applyBorder="1" applyAlignment="1">
      <alignment horizontal="center"/>
    </xf>
    <xf numFmtId="10" fontId="30" fillId="19" borderId="17" xfId="0" applyNumberFormat="1" applyFont="1" applyFill="1" applyBorder="1" applyAlignment="1">
      <alignment horizontal="right"/>
    </xf>
    <xf numFmtId="10" fontId="30" fillId="19" borderId="18" xfId="0" applyNumberFormat="1" applyFont="1" applyFill="1" applyBorder="1" applyAlignment="1">
      <alignment horizontal="right"/>
    </xf>
    <xf numFmtId="1" fontId="30" fillId="19" borderId="27" xfId="0" applyNumberFormat="1" applyFont="1" applyFill="1" applyBorder="1" applyAlignment="1">
      <alignment horizontal="center"/>
    </xf>
    <xf numFmtId="49" fontId="30" fillId="19" borderId="28" xfId="0" applyNumberFormat="1" applyFont="1" applyFill="1" applyBorder="1" applyAlignment="1">
      <alignment horizontal="left"/>
    </xf>
    <xf numFmtId="1" fontId="30" fillId="19" borderId="29" xfId="0" applyNumberFormat="1" applyFont="1" applyFill="1" applyBorder="1" applyAlignment="1">
      <alignment horizontal="center"/>
    </xf>
    <xf numFmtId="10" fontId="30" fillId="19" borderId="29" xfId="0" applyNumberFormat="1" applyFont="1" applyFill="1" applyBorder="1" applyAlignment="1">
      <alignment horizontal="right"/>
    </xf>
    <xf numFmtId="10" fontId="30" fillId="19" borderId="30" xfId="0" applyNumberFormat="1" applyFont="1" applyFill="1" applyBorder="1" applyAlignment="1">
      <alignment horizontal="right"/>
    </xf>
    <xf numFmtId="0" fontId="0" fillId="19" borderId="0" xfId="0" applyFill="1"/>
    <xf numFmtId="1" fontId="4" fillId="20" borderId="0" xfId="0" applyNumberFormat="1" applyFont="1" applyFill="1" applyAlignment="1">
      <alignment horizontal="center"/>
    </xf>
    <xf numFmtId="0" fontId="4" fillId="20" borderId="0" xfId="0" applyFont="1" applyFill="1" applyAlignment="1">
      <alignment horizontal="left"/>
    </xf>
    <xf numFmtId="10" fontId="4" fillId="20" borderId="0" xfId="0" applyNumberFormat="1" applyFont="1" applyFill="1" applyAlignment="1">
      <alignment horizontal="right"/>
    </xf>
    <xf numFmtId="1" fontId="3" fillId="20" borderId="0" xfId="0" applyNumberFormat="1" applyFont="1" applyFill="1" applyAlignment="1">
      <alignment horizontal="center"/>
    </xf>
    <xf numFmtId="3" fontId="3" fillId="20" borderId="0" xfId="0" applyNumberFormat="1" applyFont="1" applyFill="1" applyAlignment="1">
      <alignment horizontal="left"/>
    </xf>
    <xf numFmtId="10" fontId="3" fillId="20" borderId="0" xfId="0" applyNumberFormat="1" applyFont="1" applyFill="1" applyAlignment="1">
      <alignment horizontal="right"/>
    </xf>
    <xf numFmtId="1" fontId="6" fillId="20" borderId="8" xfId="0" applyNumberFormat="1" applyFont="1" applyFill="1" applyBorder="1" applyAlignment="1">
      <alignment horizontal="center" vertical="center" wrapText="1"/>
    </xf>
    <xf numFmtId="0" fontId="6" fillId="20" borderId="5" xfId="0" applyFont="1" applyFill="1" applyBorder="1" applyAlignment="1">
      <alignment horizontal="center" vertical="center" wrapText="1"/>
    </xf>
    <xf numFmtId="1" fontId="6" fillId="20" borderId="6" xfId="0" applyNumberFormat="1" applyFont="1" applyFill="1" applyBorder="1" applyAlignment="1">
      <alignment horizontal="center" vertical="center" wrapText="1"/>
    </xf>
    <xf numFmtId="10" fontId="6" fillId="20" borderId="6" xfId="0" applyNumberFormat="1" applyFont="1" applyFill="1" applyBorder="1" applyAlignment="1">
      <alignment horizontal="center" vertical="center" wrapText="1"/>
    </xf>
    <xf numFmtId="1" fontId="3" fillId="20" borderId="13" xfId="0" applyNumberFormat="1" applyFont="1" applyFill="1" applyBorder="1" applyAlignment="1">
      <alignment horizontal="center"/>
    </xf>
    <xf numFmtId="49" fontId="3" fillId="20" borderId="10" xfId="0" applyNumberFormat="1" applyFont="1" applyFill="1" applyBorder="1" applyAlignment="1">
      <alignment horizontal="left"/>
    </xf>
    <xf numFmtId="1" fontId="3" fillId="20" borderId="11" xfId="0" applyNumberFormat="1" applyFont="1" applyFill="1" applyBorder="1" applyAlignment="1">
      <alignment horizontal="center"/>
    </xf>
    <xf numFmtId="10" fontId="3" fillId="20" borderId="11" xfId="0" applyNumberFormat="1" applyFont="1" applyFill="1" applyBorder="1" applyAlignment="1">
      <alignment horizontal="right"/>
    </xf>
    <xf numFmtId="1" fontId="3" fillId="20" borderId="19" xfId="0" applyNumberFormat="1" applyFont="1" applyFill="1" applyBorder="1" applyAlignment="1">
      <alignment horizontal="center"/>
    </xf>
    <xf numFmtId="49" fontId="3" fillId="20" borderId="16" xfId="0" applyNumberFormat="1" applyFont="1" applyFill="1" applyBorder="1" applyAlignment="1">
      <alignment horizontal="left"/>
    </xf>
    <xf numFmtId="1" fontId="3" fillId="20" borderId="17" xfId="0" applyNumberFormat="1" applyFont="1" applyFill="1" applyBorder="1" applyAlignment="1">
      <alignment horizontal="center"/>
    </xf>
    <xf numFmtId="10" fontId="3" fillId="20" borderId="17" xfId="0" applyNumberFormat="1" applyFont="1" applyFill="1" applyBorder="1" applyAlignment="1">
      <alignment horizontal="right"/>
    </xf>
    <xf numFmtId="1" fontId="8" fillId="20" borderId="19" xfId="0" applyNumberFormat="1" applyFont="1" applyFill="1" applyBorder="1" applyAlignment="1">
      <alignment horizontal="center"/>
    </xf>
    <xf numFmtId="49" fontId="5" fillId="20" borderId="16" xfId="0" applyNumberFormat="1" applyFont="1" applyFill="1" applyBorder="1" applyAlignment="1">
      <alignment horizontal="left"/>
    </xf>
    <xf numFmtId="1" fontId="7" fillId="20" borderId="17" xfId="0" applyNumberFormat="1" applyFont="1" applyFill="1" applyBorder="1" applyAlignment="1">
      <alignment horizontal="center"/>
    </xf>
    <xf numFmtId="10" fontId="7" fillId="20" borderId="17" xfId="0" applyNumberFormat="1" applyFont="1" applyFill="1" applyBorder="1" applyAlignment="1">
      <alignment horizontal="right"/>
    </xf>
    <xf numFmtId="1" fontId="5" fillId="20" borderId="19" xfId="0" applyNumberFormat="1" applyFont="1" applyFill="1" applyBorder="1" applyAlignment="1">
      <alignment horizontal="center"/>
    </xf>
    <xf numFmtId="1" fontId="9" fillId="20" borderId="17" xfId="0" applyNumberFormat="1" applyFont="1" applyFill="1" applyBorder="1" applyAlignment="1">
      <alignment horizontal="center"/>
    </xf>
    <xf numFmtId="10" fontId="9" fillId="20" borderId="17" xfId="0" applyNumberFormat="1" applyFont="1" applyFill="1" applyBorder="1" applyAlignment="1">
      <alignment horizontal="right"/>
    </xf>
    <xf numFmtId="1" fontId="10" fillId="20" borderId="19" xfId="0" applyNumberFormat="1" applyFont="1" applyFill="1" applyBorder="1" applyAlignment="1">
      <alignment horizontal="center"/>
    </xf>
    <xf numFmtId="49" fontId="10" fillId="20" borderId="16" xfId="0" applyNumberFormat="1" applyFont="1" applyFill="1" applyBorder="1" applyAlignment="1">
      <alignment horizontal="left"/>
    </xf>
    <xf numFmtId="1" fontId="11" fillId="20" borderId="17" xfId="0" applyNumberFormat="1" applyFont="1" applyFill="1" applyBorder="1" applyAlignment="1">
      <alignment horizontal="center"/>
    </xf>
    <xf numFmtId="10" fontId="11" fillId="20" borderId="17" xfId="0" applyNumberFormat="1" applyFont="1" applyFill="1" applyBorder="1" applyAlignment="1">
      <alignment horizontal="right"/>
    </xf>
    <xf numFmtId="1" fontId="13" fillId="20" borderId="19" xfId="0" applyNumberFormat="1" applyFont="1" applyFill="1" applyBorder="1" applyAlignment="1">
      <alignment horizontal="center"/>
    </xf>
    <xf numFmtId="10" fontId="14" fillId="20" borderId="17" xfId="0" applyNumberFormat="1" applyFont="1" applyFill="1" applyBorder="1" applyAlignment="1">
      <alignment horizontal="right"/>
    </xf>
    <xf numFmtId="1" fontId="14" fillId="20" borderId="17" xfId="0" applyNumberFormat="1" applyFont="1" applyFill="1" applyBorder="1" applyAlignment="1">
      <alignment horizontal="center"/>
    </xf>
    <xf numFmtId="1" fontId="16" fillId="20" borderId="17" xfId="0" applyNumberFormat="1" applyFont="1" applyFill="1" applyBorder="1" applyAlignment="1">
      <alignment horizontal="center"/>
    </xf>
    <xf numFmtId="10" fontId="17" fillId="20" borderId="17" xfId="0" applyNumberFormat="1" applyFont="1" applyFill="1" applyBorder="1" applyAlignment="1">
      <alignment horizontal="right"/>
    </xf>
    <xf numFmtId="1" fontId="17" fillId="20" borderId="17" xfId="0" applyNumberFormat="1" applyFont="1" applyFill="1" applyBorder="1" applyAlignment="1">
      <alignment horizontal="center"/>
    </xf>
    <xf numFmtId="1" fontId="12" fillId="20" borderId="17" xfId="0" applyNumberFormat="1" applyFont="1" applyFill="1" applyBorder="1" applyAlignment="1">
      <alignment horizontal="center"/>
    </xf>
    <xf numFmtId="10" fontId="12" fillId="20" borderId="17" xfId="0" applyNumberFormat="1" applyFont="1" applyFill="1" applyBorder="1" applyAlignment="1">
      <alignment horizontal="right"/>
    </xf>
    <xf numFmtId="1" fontId="18" fillId="20" borderId="17" xfId="0" applyNumberFormat="1" applyFont="1" applyFill="1" applyBorder="1" applyAlignment="1">
      <alignment horizontal="center"/>
    </xf>
    <xf numFmtId="10" fontId="18" fillId="20" borderId="17" xfId="0" applyNumberFormat="1" applyFont="1" applyFill="1" applyBorder="1" applyAlignment="1">
      <alignment horizontal="right"/>
    </xf>
    <xf numFmtId="1" fontId="15" fillId="20" borderId="17" xfId="0" applyNumberFormat="1" applyFont="1" applyFill="1" applyBorder="1" applyAlignment="1">
      <alignment horizontal="center"/>
    </xf>
    <xf numFmtId="10" fontId="15" fillId="20" borderId="17" xfId="0" applyNumberFormat="1" applyFont="1" applyFill="1" applyBorder="1" applyAlignment="1">
      <alignment horizontal="right"/>
    </xf>
    <xf numFmtId="1" fontId="3" fillId="20" borderId="19" xfId="0" quotePrefix="1" applyNumberFormat="1" applyFont="1" applyFill="1" applyBorder="1" applyAlignment="1">
      <alignment horizontal="center"/>
    </xf>
    <xf numFmtId="49" fontId="3" fillId="20" borderId="16" xfId="0" quotePrefix="1" applyNumberFormat="1" applyFont="1" applyFill="1" applyBorder="1" applyAlignment="1">
      <alignment horizontal="left"/>
    </xf>
    <xf numFmtId="1" fontId="3" fillId="20" borderId="17" xfId="0" quotePrefix="1" applyNumberFormat="1" applyFont="1" applyFill="1" applyBorder="1" applyAlignment="1">
      <alignment horizontal="center"/>
    </xf>
    <xf numFmtId="10" fontId="3" fillId="20" borderId="17" xfId="0" quotePrefix="1" applyNumberFormat="1" applyFont="1" applyFill="1" applyBorder="1" applyAlignment="1">
      <alignment horizontal="right"/>
    </xf>
    <xf numFmtId="1" fontId="10" fillId="20" borderId="19" xfId="0" quotePrefix="1" applyNumberFormat="1" applyFont="1" applyFill="1" applyBorder="1" applyAlignment="1">
      <alignment horizontal="center"/>
    </xf>
    <xf numFmtId="49" fontId="10" fillId="20" borderId="16" xfId="0" quotePrefix="1" applyNumberFormat="1" applyFont="1" applyFill="1" applyBorder="1" applyAlignment="1">
      <alignment horizontal="left"/>
    </xf>
    <xf numFmtId="1" fontId="10" fillId="20" borderId="17" xfId="0" quotePrefix="1" applyNumberFormat="1" applyFont="1" applyFill="1" applyBorder="1" applyAlignment="1">
      <alignment horizontal="center"/>
    </xf>
    <xf numFmtId="10" fontId="10" fillId="20" borderId="17" xfId="0" quotePrefix="1" applyNumberFormat="1" applyFont="1" applyFill="1" applyBorder="1" applyAlignment="1">
      <alignment horizontal="right"/>
    </xf>
    <xf numFmtId="1" fontId="19" fillId="20" borderId="19" xfId="0" applyNumberFormat="1" applyFont="1" applyFill="1" applyBorder="1" applyAlignment="1">
      <alignment horizontal="center"/>
    </xf>
    <xf numFmtId="10" fontId="16" fillId="20" borderId="17" xfId="0" applyNumberFormat="1" applyFont="1" applyFill="1" applyBorder="1" applyAlignment="1">
      <alignment horizontal="right"/>
    </xf>
    <xf numFmtId="49" fontId="4" fillId="20" borderId="16" xfId="0" applyNumberFormat="1" applyFont="1" applyFill="1" applyBorder="1" applyAlignment="1">
      <alignment horizontal="left"/>
    </xf>
    <xf numFmtId="1" fontId="5" fillId="20" borderId="17" xfId="0" applyNumberFormat="1" applyFont="1" applyFill="1" applyBorder="1" applyAlignment="1">
      <alignment horizontal="center"/>
    </xf>
    <xf numFmtId="1" fontId="10" fillId="20" borderId="17" xfId="0" applyNumberFormat="1" applyFont="1" applyFill="1" applyBorder="1" applyAlignment="1">
      <alignment horizontal="center"/>
    </xf>
    <xf numFmtId="1" fontId="4" fillId="20" borderId="19" xfId="0" applyNumberFormat="1" applyFont="1" applyFill="1" applyBorder="1" applyAlignment="1">
      <alignment horizontal="center"/>
    </xf>
    <xf numFmtId="1" fontId="21" fillId="20" borderId="17" xfId="0" applyNumberFormat="1" applyFont="1" applyFill="1" applyBorder="1" applyAlignment="1">
      <alignment horizontal="center"/>
    </xf>
    <xf numFmtId="10" fontId="21" fillId="20" borderId="17" xfId="0" applyNumberFormat="1" applyFont="1" applyFill="1" applyBorder="1" applyAlignment="1">
      <alignment horizontal="right"/>
    </xf>
    <xf numFmtId="1" fontId="10" fillId="20" borderId="25" xfId="0" applyNumberFormat="1" applyFont="1" applyFill="1" applyBorder="1" applyAlignment="1">
      <alignment horizontal="center"/>
    </xf>
    <xf numFmtId="49" fontId="10" fillId="20" borderId="22" xfId="0" applyNumberFormat="1" applyFont="1" applyFill="1" applyBorder="1" applyAlignment="1">
      <alignment horizontal="left"/>
    </xf>
    <xf numFmtId="1" fontId="16" fillId="20" borderId="23" xfId="0" applyNumberFormat="1" applyFont="1" applyFill="1" applyBorder="1" applyAlignment="1">
      <alignment horizontal="center"/>
    </xf>
    <xf numFmtId="10" fontId="16" fillId="20" borderId="23" xfId="0" applyNumberFormat="1" applyFont="1" applyFill="1" applyBorder="1" applyAlignment="1">
      <alignment horizontal="right"/>
    </xf>
    <xf numFmtId="1" fontId="5" fillId="20" borderId="25" xfId="0" applyNumberFormat="1" applyFont="1" applyFill="1" applyBorder="1" applyAlignment="1">
      <alignment horizontal="center"/>
    </xf>
    <xf numFmtId="49" fontId="5" fillId="20" borderId="22" xfId="0" applyNumberFormat="1" applyFont="1" applyFill="1" applyBorder="1" applyAlignment="1">
      <alignment horizontal="left"/>
    </xf>
    <xf numFmtId="1" fontId="7" fillId="20" borderId="23" xfId="0" applyNumberFormat="1" applyFont="1" applyFill="1" applyBorder="1" applyAlignment="1">
      <alignment horizontal="center"/>
    </xf>
    <xf numFmtId="10" fontId="7" fillId="20" borderId="23" xfId="0" applyNumberFormat="1" applyFont="1" applyFill="1" applyBorder="1" applyAlignment="1">
      <alignment horizontal="right"/>
    </xf>
    <xf numFmtId="1" fontId="5" fillId="20" borderId="31" xfId="0" applyNumberFormat="1" applyFont="1" applyFill="1" applyBorder="1" applyAlignment="1">
      <alignment horizontal="center"/>
    </xf>
    <xf numFmtId="49" fontId="5" fillId="20" borderId="28" xfId="0" applyNumberFormat="1" applyFont="1" applyFill="1" applyBorder="1" applyAlignment="1">
      <alignment horizontal="left"/>
    </xf>
    <xf numFmtId="1" fontId="5" fillId="20" borderId="29" xfId="0" applyNumberFormat="1" applyFont="1" applyFill="1" applyBorder="1" applyAlignment="1">
      <alignment horizontal="center"/>
    </xf>
    <xf numFmtId="10" fontId="5" fillId="20" borderId="29" xfId="0" applyNumberFormat="1" applyFont="1" applyFill="1" applyBorder="1" applyAlignment="1">
      <alignment horizontal="right"/>
    </xf>
    <xf numFmtId="1" fontId="3" fillId="20" borderId="37" xfId="0" applyNumberFormat="1" applyFont="1" applyFill="1" applyBorder="1" applyAlignment="1">
      <alignment horizontal="center"/>
    </xf>
    <xf numFmtId="49" fontId="3" fillId="20" borderId="34" xfId="0" applyNumberFormat="1" applyFont="1" applyFill="1" applyBorder="1" applyAlignment="1">
      <alignment horizontal="left"/>
    </xf>
    <xf numFmtId="1" fontId="3" fillId="20" borderId="35" xfId="0" applyNumberFormat="1" applyFont="1" applyFill="1" applyBorder="1" applyAlignment="1">
      <alignment horizontal="center"/>
    </xf>
    <xf numFmtId="10" fontId="3" fillId="20" borderId="35" xfId="0" applyNumberFormat="1" applyFont="1" applyFill="1" applyBorder="1" applyAlignment="1">
      <alignment horizontal="right"/>
    </xf>
    <xf numFmtId="1" fontId="21" fillId="20" borderId="19" xfId="0" applyNumberFormat="1" applyFont="1" applyFill="1" applyBorder="1" applyAlignment="1">
      <alignment horizontal="center"/>
    </xf>
    <xf numFmtId="49" fontId="21" fillId="20" borderId="16" xfId="0" applyNumberFormat="1" applyFont="1" applyFill="1" applyBorder="1" applyAlignment="1">
      <alignment horizontal="left"/>
    </xf>
    <xf numFmtId="1" fontId="3" fillId="20" borderId="25" xfId="0" applyNumberFormat="1" applyFont="1" applyFill="1" applyBorder="1" applyAlignment="1">
      <alignment horizontal="center"/>
    </xf>
    <xf numFmtId="49" fontId="3" fillId="20" borderId="22" xfId="0" applyNumberFormat="1" applyFont="1" applyFill="1" applyBorder="1" applyAlignment="1">
      <alignment horizontal="left"/>
    </xf>
    <xf numFmtId="1" fontId="3" fillId="20" borderId="23" xfId="0" applyNumberFormat="1" applyFont="1" applyFill="1" applyBorder="1" applyAlignment="1">
      <alignment horizontal="center"/>
    </xf>
    <xf numFmtId="10" fontId="3" fillId="20" borderId="23" xfId="0" applyNumberFormat="1" applyFont="1" applyFill="1" applyBorder="1" applyAlignment="1">
      <alignment horizontal="right"/>
    </xf>
    <xf numFmtId="1" fontId="11" fillId="20" borderId="23" xfId="0" applyNumberFormat="1" applyFont="1" applyFill="1" applyBorder="1" applyAlignment="1">
      <alignment horizontal="center"/>
    </xf>
    <xf numFmtId="10" fontId="11" fillId="20" borderId="23" xfId="0" applyNumberFormat="1" applyFont="1" applyFill="1" applyBorder="1" applyAlignment="1">
      <alignment horizontal="right"/>
    </xf>
    <xf numFmtId="1" fontId="1" fillId="20" borderId="31" xfId="0" applyNumberFormat="1" applyFont="1" applyFill="1" applyBorder="1" applyAlignment="1">
      <alignment horizontal="center"/>
    </xf>
    <xf numFmtId="49" fontId="1" fillId="20" borderId="28" xfId="0" applyNumberFormat="1" applyFont="1" applyFill="1" applyBorder="1" applyAlignment="1">
      <alignment horizontal="left"/>
    </xf>
    <xf numFmtId="1" fontId="24" fillId="20" borderId="29" xfId="0" applyNumberFormat="1" applyFont="1" applyFill="1" applyBorder="1" applyAlignment="1">
      <alignment horizontal="center"/>
    </xf>
    <xf numFmtId="10" fontId="24" fillId="20" borderId="29" xfId="0" applyNumberFormat="1" applyFont="1" applyFill="1" applyBorder="1" applyAlignment="1">
      <alignment horizontal="right"/>
    </xf>
    <xf numFmtId="1" fontId="1" fillId="20" borderId="19" xfId="0" applyNumberFormat="1" applyFont="1" applyFill="1" applyBorder="1" applyAlignment="1">
      <alignment horizontal="center"/>
    </xf>
    <xf numFmtId="49" fontId="1" fillId="20" borderId="16" xfId="0" applyNumberFormat="1" applyFont="1" applyFill="1" applyBorder="1" applyAlignment="1">
      <alignment horizontal="left"/>
    </xf>
    <xf numFmtId="1" fontId="25" fillId="20" borderId="17" xfId="0" applyNumberFormat="1" applyFont="1" applyFill="1" applyBorder="1" applyAlignment="1">
      <alignment horizontal="center"/>
    </xf>
    <xf numFmtId="10" fontId="25" fillId="20" borderId="17" xfId="0" applyNumberFormat="1" applyFont="1" applyFill="1" applyBorder="1" applyAlignment="1">
      <alignment horizontal="right"/>
    </xf>
    <xf numFmtId="1" fontId="10" fillId="20" borderId="31" xfId="0" applyNumberFormat="1" applyFont="1" applyFill="1" applyBorder="1" applyAlignment="1">
      <alignment horizontal="center"/>
    </xf>
    <xf numFmtId="49" fontId="10" fillId="20" borderId="28" xfId="0" applyNumberFormat="1" applyFont="1" applyFill="1" applyBorder="1" applyAlignment="1">
      <alignment horizontal="left"/>
    </xf>
    <xf numFmtId="1" fontId="10" fillId="20" borderId="29" xfId="0" applyNumberFormat="1" applyFont="1" applyFill="1" applyBorder="1" applyAlignment="1">
      <alignment horizontal="center"/>
    </xf>
    <xf numFmtId="10" fontId="10" fillId="20" borderId="29" xfId="0" applyNumberFormat="1" applyFont="1" applyFill="1" applyBorder="1" applyAlignment="1">
      <alignment horizontal="right"/>
    </xf>
    <xf numFmtId="10" fontId="10" fillId="20" borderId="17" xfId="0" applyNumberFormat="1" applyFont="1" applyFill="1" applyBorder="1" applyAlignment="1">
      <alignment horizontal="right"/>
    </xf>
    <xf numFmtId="1" fontId="3" fillId="20" borderId="31" xfId="0" applyNumberFormat="1" applyFont="1" applyFill="1" applyBorder="1" applyAlignment="1">
      <alignment horizontal="center"/>
    </xf>
    <xf numFmtId="49" fontId="3" fillId="20" borderId="28" xfId="0" applyNumberFormat="1" applyFont="1" applyFill="1" applyBorder="1" applyAlignment="1">
      <alignment horizontal="left"/>
    </xf>
    <xf numFmtId="1" fontId="3" fillId="20" borderId="29" xfId="0" applyNumberFormat="1" applyFont="1" applyFill="1" applyBorder="1" applyAlignment="1">
      <alignment horizontal="center"/>
    </xf>
    <xf numFmtId="10" fontId="3" fillId="20" borderId="29" xfId="0" applyNumberFormat="1" applyFont="1" applyFill="1" applyBorder="1" applyAlignment="1">
      <alignment horizontal="right"/>
    </xf>
    <xf numFmtId="1" fontId="10" fillId="20" borderId="37" xfId="0" applyNumberFormat="1" applyFont="1" applyFill="1" applyBorder="1" applyAlignment="1">
      <alignment horizontal="center"/>
    </xf>
    <xf numFmtId="49" fontId="10" fillId="20" borderId="34" xfId="0" applyNumberFormat="1" applyFont="1" applyFill="1" applyBorder="1" applyAlignment="1">
      <alignment horizontal="left"/>
    </xf>
    <xf numFmtId="1" fontId="16" fillId="20" borderId="35" xfId="0" applyNumberFormat="1" applyFont="1" applyFill="1" applyBorder="1" applyAlignment="1">
      <alignment horizontal="center"/>
    </xf>
    <xf numFmtId="10" fontId="16" fillId="20" borderId="35" xfId="0" applyNumberFormat="1" applyFont="1" applyFill="1" applyBorder="1" applyAlignment="1">
      <alignment horizontal="right"/>
    </xf>
    <xf numFmtId="1" fontId="27" fillId="20" borderId="31" xfId="0" applyNumberFormat="1" applyFont="1" applyFill="1" applyBorder="1" applyAlignment="1">
      <alignment horizontal="center"/>
    </xf>
    <xf numFmtId="49" fontId="27" fillId="20" borderId="28" xfId="0" applyNumberFormat="1" applyFont="1" applyFill="1" applyBorder="1" applyAlignment="1">
      <alignment horizontal="left"/>
    </xf>
    <xf numFmtId="1" fontId="27" fillId="20" borderId="29" xfId="0" applyNumberFormat="1" applyFont="1" applyFill="1" applyBorder="1" applyAlignment="1">
      <alignment horizontal="center"/>
    </xf>
    <xf numFmtId="10" fontId="27" fillId="20" borderId="29" xfId="0" applyNumberFormat="1" applyFont="1" applyFill="1" applyBorder="1" applyAlignment="1">
      <alignment horizontal="right"/>
    </xf>
    <xf numFmtId="1" fontId="7" fillId="20" borderId="35" xfId="0" applyNumberFormat="1" applyFont="1" applyFill="1" applyBorder="1" applyAlignment="1">
      <alignment horizontal="center"/>
    </xf>
    <xf numFmtId="10" fontId="7" fillId="20" borderId="35" xfId="0" applyNumberFormat="1" applyFont="1" applyFill="1" applyBorder="1" applyAlignment="1">
      <alignment horizontal="right"/>
    </xf>
    <xf numFmtId="1" fontId="13" fillId="20" borderId="37" xfId="0" applyNumberFormat="1" applyFont="1" applyFill="1" applyBorder="1" applyAlignment="1">
      <alignment horizontal="center"/>
    </xf>
    <xf numFmtId="1" fontId="18" fillId="20" borderId="35" xfId="0" applyNumberFormat="1" applyFont="1" applyFill="1" applyBorder="1" applyAlignment="1">
      <alignment horizontal="center"/>
    </xf>
    <xf numFmtId="10" fontId="18" fillId="20" borderId="35" xfId="0" applyNumberFormat="1" applyFont="1" applyFill="1" applyBorder="1" applyAlignment="1">
      <alignment horizontal="right"/>
    </xf>
    <xf numFmtId="1" fontId="20" fillId="20" borderId="17" xfId="0" applyNumberFormat="1" applyFont="1" applyFill="1" applyBorder="1" applyAlignment="1">
      <alignment horizontal="center"/>
    </xf>
    <xf numFmtId="10" fontId="20" fillId="20" borderId="17" xfId="0" applyNumberFormat="1" applyFont="1" applyFill="1" applyBorder="1" applyAlignment="1">
      <alignment horizontal="right"/>
    </xf>
    <xf numFmtId="1" fontId="27" fillId="20" borderId="19" xfId="0" applyNumberFormat="1" applyFont="1" applyFill="1" applyBorder="1" applyAlignment="1">
      <alignment horizontal="center"/>
    </xf>
    <xf numFmtId="49" fontId="27" fillId="20" borderId="16" xfId="0" applyNumberFormat="1" applyFont="1" applyFill="1" applyBorder="1" applyAlignment="1">
      <alignment horizontal="left"/>
    </xf>
    <xf numFmtId="1" fontId="27" fillId="20" borderId="17" xfId="0" applyNumberFormat="1" applyFont="1" applyFill="1" applyBorder="1" applyAlignment="1">
      <alignment horizontal="center"/>
    </xf>
    <xf numFmtId="10" fontId="27" fillId="20" borderId="17" xfId="0" applyNumberFormat="1" applyFont="1" applyFill="1" applyBorder="1" applyAlignment="1">
      <alignment horizontal="right"/>
    </xf>
    <xf numFmtId="1" fontId="5" fillId="20" borderId="23" xfId="0" applyNumberFormat="1" applyFont="1" applyFill="1" applyBorder="1" applyAlignment="1">
      <alignment horizontal="center"/>
    </xf>
    <xf numFmtId="10" fontId="5" fillId="20" borderId="23" xfId="0" applyNumberFormat="1" applyFont="1" applyFill="1" applyBorder="1" applyAlignment="1">
      <alignment horizontal="right"/>
    </xf>
    <xf numFmtId="1" fontId="10" fillId="20" borderId="23" xfId="0" applyNumberFormat="1" applyFont="1" applyFill="1" applyBorder="1" applyAlignment="1">
      <alignment horizontal="center"/>
    </xf>
    <xf numFmtId="10" fontId="10" fillId="20" borderId="23" xfId="0" applyNumberFormat="1" applyFont="1" applyFill="1" applyBorder="1" applyAlignment="1">
      <alignment horizontal="right"/>
    </xf>
    <xf numFmtId="1" fontId="7" fillId="20" borderId="16" xfId="0" applyNumberFormat="1" applyFont="1" applyFill="1" applyBorder="1" applyAlignment="1">
      <alignment horizontal="center"/>
    </xf>
    <xf numFmtId="10" fontId="7" fillId="20" borderId="16" xfId="0" applyNumberFormat="1" applyFont="1" applyFill="1" applyBorder="1" applyAlignment="1">
      <alignment horizontal="right"/>
    </xf>
    <xf numFmtId="1" fontId="7" fillId="20" borderId="28" xfId="0" applyNumberFormat="1" applyFont="1" applyFill="1" applyBorder="1" applyAlignment="1">
      <alignment horizontal="center"/>
    </xf>
    <xf numFmtId="10" fontId="7" fillId="20" borderId="28" xfId="0" applyNumberFormat="1" applyFont="1" applyFill="1" applyBorder="1" applyAlignment="1">
      <alignment horizontal="right"/>
    </xf>
    <xf numFmtId="1" fontId="10" fillId="20" borderId="15" xfId="0" applyNumberFormat="1" applyFont="1" applyFill="1" applyBorder="1" applyAlignment="1">
      <alignment horizontal="center"/>
    </xf>
    <xf numFmtId="1" fontId="15" fillId="20" borderId="23" xfId="0" applyNumberFormat="1" applyFont="1" applyFill="1" applyBorder="1" applyAlignment="1">
      <alignment horizontal="center"/>
    </xf>
    <xf numFmtId="10" fontId="15" fillId="20" borderId="23" xfId="0" applyNumberFormat="1" applyFont="1" applyFill="1" applyBorder="1" applyAlignment="1">
      <alignment horizontal="right"/>
    </xf>
    <xf numFmtId="10" fontId="5" fillId="20" borderId="17" xfId="0" applyNumberFormat="1" applyFont="1" applyFill="1" applyBorder="1" applyAlignment="1">
      <alignment horizontal="right"/>
    </xf>
    <xf numFmtId="1" fontId="27" fillId="20" borderId="25" xfId="0" applyNumberFormat="1" applyFont="1" applyFill="1" applyBorder="1" applyAlignment="1">
      <alignment horizontal="center"/>
    </xf>
    <xf numFmtId="49" fontId="27" fillId="20" borderId="22" xfId="0" applyNumberFormat="1" applyFont="1" applyFill="1" applyBorder="1" applyAlignment="1">
      <alignment horizontal="left"/>
    </xf>
    <xf numFmtId="1" fontId="27" fillId="20" borderId="23" xfId="0" applyNumberFormat="1" applyFont="1" applyFill="1" applyBorder="1" applyAlignment="1">
      <alignment horizontal="center"/>
    </xf>
    <xf numFmtId="10" fontId="27" fillId="20" borderId="23" xfId="0" applyNumberFormat="1" applyFont="1" applyFill="1" applyBorder="1" applyAlignment="1">
      <alignment horizontal="right"/>
    </xf>
    <xf numFmtId="1" fontId="11" fillId="20" borderId="29" xfId="0" applyNumberFormat="1" applyFont="1" applyFill="1" applyBorder="1" applyAlignment="1">
      <alignment horizontal="center"/>
    </xf>
    <xf numFmtId="10" fontId="11" fillId="20" borderId="29" xfId="0" applyNumberFormat="1" applyFont="1" applyFill="1" applyBorder="1" applyAlignment="1">
      <alignment horizontal="right"/>
    </xf>
    <xf numFmtId="1" fontId="30" fillId="20" borderId="19" xfId="0" applyNumberFormat="1" applyFont="1" applyFill="1" applyBorder="1" applyAlignment="1">
      <alignment horizontal="center"/>
    </xf>
    <xf numFmtId="49" fontId="30" fillId="20" borderId="16" xfId="0" applyNumberFormat="1" applyFont="1" applyFill="1" applyBorder="1" applyAlignment="1">
      <alignment horizontal="left"/>
    </xf>
    <xf numFmtId="1" fontId="30" fillId="20" borderId="17" xfId="0" applyNumberFormat="1" applyFont="1" applyFill="1" applyBorder="1" applyAlignment="1">
      <alignment horizontal="center"/>
    </xf>
    <xf numFmtId="10" fontId="30" fillId="20" borderId="17" xfId="0" applyNumberFormat="1" applyFont="1" applyFill="1" applyBorder="1" applyAlignment="1">
      <alignment horizontal="right"/>
    </xf>
    <xf numFmtId="1" fontId="30" fillId="20" borderId="31" xfId="0" applyNumberFormat="1" applyFont="1" applyFill="1" applyBorder="1" applyAlignment="1">
      <alignment horizontal="center"/>
    </xf>
    <xf numFmtId="49" fontId="30" fillId="20" borderId="28" xfId="0" applyNumberFormat="1" applyFont="1" applyFill="1" applyBorder="1" applyAlignment="1">
      <alignment horizontal="left"/>
    </xf>
    <xf numFmtId="1" fontId="30" fillId="20" borderId="29" xfId="0" applyNumberFormat="1" applyFont="1" applyFill="1" applyBorder="1" applyAlignment="1">
      <alignment horizontal="center"/>
    </xf>
    <xf numFmtId="10" fontId="30" fillId="20" borderId="29" xfId="0" applyNumberFormat="1" applyFont="1" applyFill="1" applyBorder="1" applyAlignment="1">
      <alignment horizontal="right"/>
    </xf>
    <xf numFmtId="0" fontId="0" fillId="20" borderId="0" xfId="0" applyFill="1"/>
    <xf numFmtId="0" fontId="6" fillId="2" borderId="3" xfId="0" applyFont="1" applyFill="1" applyBorder="1" applyAlignment="1">
      <alignment horizontal="center" vertical="center" wrapText="1"/>
    </xf>
    <xf numFmtId="0" fontId="3" fillId="2" borderId="40" xfId="0" applyFont="1" applyFill="1" applyBorder="1"/>
    <xf numFmtId="0" fontId="3" fillId="2" borderId="41" xfId="0" applyFont="1" applyFill="1" applyBorder="1"/>
    <xf numFmtId="0" fontId="3" fillId="3" borderId="41" xfId="0" applyFont="1" applyFill="1" applyBorder="1"/>
    <xf numFmtId="0" fontId="10" fillId="3" borderId="41" xfId="0" applyFont="1" applyFill="1" applyBorder="1"/>
    <xf numFmtId="0" fontId="3" fillId="4" borderId="41" xfId="0" applyFont="1" applyFill="1" applyBorder="1"/>
    <xf numFmtId="0" fontId="3" fillId="5" borderId="41" xfId="0" applyFont="1" applyFill="1" applyBorder="1"/>
    <xf numFmtId="0" fontId="10" fillId="5" borderId="41" xfId="0" applyFont="1" applyFill="1" applyBorder="1"/>
    <xf numFmtId="0" fontId="10" fillId="6" borderId="41" xfId="0" applyFont="1" applyFill="1" applyBorder="1"/>
    <xf numFmtId="0" fontId="3" fillId="7" borderId="41" xfId="0" applyFont="1" applyFill="1" applyBorder="1"/>
    <xf numFmtId="0" fontId="10" fillId="8" borderId="41" xfId="0" applyFont="1" applyFill="1" applyBorder="1"/>
    <xf numFmtId="0" fontId="10" fillId="9" borderId="41" xfId="0" applyFont="1" applyFill="1" applyBorder="1"/>
    <xf numFmtId="0" fontId="10" fillId="10" borderId="41" xfId="0" applyFont="1" applyFill="1" applyBorder="1"/>
    <xf numFmtId="0" fontId="5" fillId="3" borderId="41" xfId="0" applyFont="1" applyFill="1" applyBorder="1"/>
    <xf numFmtId="0" fontId="3" fillId="8" borderId="41" xfId="0" applyFont="1" applyFill="1" applyBorder="1"/>
    <xf numFmtId="0" fontId="10" fillId="3" borderId="42" xfId="0" applyFont="1" applyFill="1" applyBorder="1"/>
    <xf numFmtId="0" fontId="5" fillId="11" borderId="42" xfId="0" applyFont="1" applyFill="1" applyBorder="1"/>
    <xf numFmtId="0" fontId="5" fillId="11" borderId="43" xfId="0" applyFont="1" applyFill="1" applyBorder="1"/>
    <xf numFmtId="0" fontId="3" fillId="4" borderId="44" xfId="0" applyFont="1" applyFill="1" applyBorder="1"/>
    <xf numFmtId="0" fontId="21" fillId="2" borderId="41" xfId="0" applyFont="1" applyFill="1" applyBorder="1"/>
    <xf numFmtId="0" fontId="3" fillId="11" borderId="41" xfId="0" applyFont="1" applyFill="1" applyBorder="1"/>
    <xf numFmtId="0" fontId="5" fillId="11" borderId="41" xfId="0" applyFont="1" applyFill="1" applyBorder="1"/>
    <xf numFmtId="0" fontId="3" fillId="11" borderId="42" xfId="0" applyFont="1" applyFill="1" applyBorder="1"/>
    <xf numFmtId="0" fontId="1" fillId="3" borderId="43" xfId="0" applyFont="1" applyFill="1" applyBorder="1"/>
    <xf numFmtId="0" fontId="1" fillId="5" borderId="41" xfId="0" applyFont="1" applyFill="1" applyBorder="1"/>
    <xf numFmtId="0" fontId="3" fillId="4" borderId="42" xfId="0" applyFont="1" applyFill="1" applyBorder="1"/>
    <xf numFmtId="0" fontId="3" fillId="4" borderId="40" xfId="0" applyFont="1" applyFill="1" applyBorder="1"/>
    <xf numFmtId="0" fontId="10" fillId="3" borderId="43" xfId="0" applyFont="1" applyFill="1" applyBorder="1"/>
    <xf numFmtId="0" fontId="3" fillId="12" borderId="43" xfId="0" applyFont="1" applyFill="1" applyBorder="1"/>
    <xf numFmtId="0" fontId="10" fillId="5" borderId="44" xfId="0" applyFont="1" applyFill="1" applyBorder="1"/>
    <xf numFmtId="0" fontId="5" fillId="5" borderId="41" xfId="0" applyFont="1" applyFill="1" applyBorder="1"/>
    <xf numFmtId="0" fontId="27" fillId="12" borderId="43" xfId="0" applyFont="1" applyFill="1" applyBorder="1"/>
    <xf numFmtId="0" fontId="3" fillId="11" borderId="44" xfId="0" applyFont="1" applyFill="1" applyBorder="1"/>
    <xf numFmtId="0" fontId="3" fillId="12" borderId="41" xfId="0" applyFont="1" applyFill="1" applyBorder="1"/>
    <xf numFmtId="0" fontId="28" fillId="5" borderId="41" xfId="0" applyFont="1" applyFill="1" applyBorder="1"/>
    <xf numFmtId="0" fontId="27" fillId="4" borderId="41" xfId="0" applyFont="1" applyFill="1" applyBorder="1"/>
    <xf numFmtId="0" fontId="27" fillId="12" borderId="41" xfId="0" applyFont="1" applyFill="1" applyBorder="1"/>
    <xf numFmtId="0" fontId="3" fillId="4" borderId="43" xfId="0" applyFont="1" applyFill="1" applyBorder="1"/>
    <xf numFmtId="0" fontId="27" fillId="12" borderId="42" xfId="0" applyFont="1" applyFill="1" applyBorder="1"/>
    <xf numFmtId="0" fontId="3" fillId="14" borderId="44" xfId="0" applyFont="1" applyFill="1" applyBorder="1"/>
    <xf numFmtId="0" fontId="30" fillId="15" borderId="41" xfId="0" applyFont="1" applyFill="1" applyBorder="1"/>
    <xf numFmtId="0" fontId="30" fillId="15" borderId="43" xfId="0" applyFont="1" applyFill="1" applyBorder="1"/>
    <xf numFmtId="10" fontId="4" fillId="20" borderId="45" xfId="0" applyNumberFormat="1" applyFont="1" applyFill="1" applyBorder="1" applyAlignment="1">
      <alignment horizontal="right"/>
    </xf>
    <xf numFmtId="10" fontId="3" fillId="20" borderId="45" xfId="0" applyNumberFormat="1" applyFont="1" applyFill="1" applyBorder="1" applyAlignment="1">
      <alignment horizontal="right"/>
    </xf>
    <xf numFmtId="10" fontId="6" fillId="20" borderId="5" xfId="0" applyNumberFormat="1" applyFont="1" applyFill="1" applyBorder="1" applyAlignment="1">
      <alignment horizontal="center" vertical="center" wrapText="1"/>
    </xf>
    <xf numFmtId="10" fontId="3" fillId="20" borderId="10" xfId="0" applyNumberFormat="1" applyFont="1" applyFill="1" applyBorder="1" applyAlignment="1">
      <alignment horizontal="right"/>
    </xf>
    <xf numFmtId="10" fontId="3" fillId="20" borderId="16" xfId="0" applyNumberFormat="1" applyFont="1" applyFill="1" applyBorder="1" applyAlignment="1">
      <alignment horizontal="right"/>
    </xf>
    <xf numFmtId="10" fontId="9" fillId="20" borderId="16" xfId="0" applyNumberFormat="1" applyFont="1" applyFill="1" applyBorder="1" applyAlignment="1">
      <alignment horizontal="right"/>
    </xf>
    <xf numFmtId="10" fontId="11" fillId="20" borderId="16" xfId="0" applyNumberFormat="1" applyFont="1" applyFill="1" applyBorder="1" applyAlignment="1">
      <alignment horizontal="right"/>
    </xf>
    <xf numFmtId="10" fontId="10" fillId="20" borderId="16" xfId="0" applyNumberFormat="1" applyFont="1" applyFill="1" applyBorder="1" applyAlignment="1">
      <alignment horizontal="right"/>
    </xf>
    <xf numFmtId="10" fontId="14" fillId="20" borderId="16" xfId="0" applyNumberFormat="1" applyFont="1" applyFill="1" applyBorder="1" applyAlignment="1">
      <alignment horizontal="right"/>
    </xf>
    <xf numFmtId="10" fontId="17" fillId="20" borderId="16" xfId="0" applyNumberFormat="1" applyFont="1" applyFill="1" applyBorder="1" applyAlignment="1">
      <alignment horizontal="right"/>
    </xf>
    <xf numFmtId="10" fontId="12" fillId="20" borderId="16" xfId="0" applyNumberFormat="1" applyFont="1" applyFill="1" applyBorder="1" applyAlignment="1">
      <alignment horizontal="right"/>
    </xf>
    <xf numFmtId="10" fontId="18" fillId="20" borderId="16" xfId="0" applyNumberFormat="1" applyFont="1" applyFill="1" applyBorder="1" applyAlignment="1">
      <alignment horizontal="right"/>
    </xf>
    <xf numFmtId="10" fontId="15" fillId="20" borderId="16" xfId="0" applyNumberFormat="1" applyFont="1" applyFill="1" applyBorder="1" applyAlignment="1">
      <alignment horizontal="right"/>
    </xf>
    <xf numFmtId="10" fontId="3" fillId="20" borderId="16" xfId="0" quotePrefix="1" applyNumberFormat="1" applyFont="1" applyFill="1" applyBorder="1" applyAlignment="1">
      <alignment horizontal="right"/>
    </xf>
    <xf numFmtId="10" fontId="10" fillId="20" borderId="16" xfId="0" quotePrefix="1" applyNumberFormat="1" applyFont="1" applyFill="1" applyBorder="1" applyAlignment="1">
      <alignment horizontal="right"/>
    </xf>
    <xf numFmtId="10" fontId="16" fillId="20" borderId="16" xfId="0" applyNumberFormat="1" applyFont="1" applyFill="1" applyBorder="1" applyAlignment="1">
      <alignment horizontal="right"/>
    </xf>
    <xf numFmtId="10" fontId="5" fillId="20" borderId="16" xfId="0" applyNumberFormat="1" applyFont="1" applyFill="1" applyBorder="1" applyAlignment="1">
      <alignment horizontal="right"/>
    </xf>
    <xf numFmtId="10" fontId="21" fillId="20" borderId="16" xfId="0" applyNumberFormat="1" applyFont="1" applyFill="1" applyBorder="1" applyAlignment="1">
      <alignment horizontal="right"/>
    </xf>
    <xf numFmtId="10" fontId="16" fillId="20" borderId="22" xfId="0" applyNumberFormat="1" applyFont="1" applyFill="1" applyBorder="1" applyAlignment="1">
      <alignment horizontal="right"/>
    </xf>
    <xf numFmtId="10" fontId="7" fillId="20" borderId="22" xfId="0" applyNumberFormat="1" applyFont="1" applyFill="1" applyBorder="1" applyAlignment="1">
      <alignment horizontal="right"/>
    </xf>
    <xf numFmtId="10" fontId="5" fillId="20" borderId="28" xfId="0" applyNumberFormat="1" applyFont="1" applyFill="1" applyBorder="1" applyAlignment="1">
      <alignment horizontal="right"/>
    </xf>
    <xf numFmtId="10" fontId="3" fillId="20" borderId="34" xfId="0" applyNumberFormat="1" applyFont="1" applyFill="1" applyBorder="1" applyAlignment="1">
      <alignment horizontal="right"/>
    </xf>
    <xf numFmtId="10" fontId="3" fillId="20" borderId="22" xfId="0" applyNumberFormat="1" applyFont="1" applyFill="1" applyBorder="1" applyAlignment="1">
      <alignment horizontal="right"/>
    </xf>
    <xf numFmtId="10" fontId="11" fillId="20" borderId="22" xfId="0" applyNumberFormat="1" applyFont="1" applyFill="1" applyBorder="1" applyAlignment="1">
      <alignment horizontal="right"/>
    </xf>
    <xf numFmtId="10" fontId="24" fillId="20" borderId="28" xfId="0" applyNumberFormat="1" applyFont="1" applyFill="1" applyBorder="1" applyAlignment="1">
      <alignment horizontal="right"/>
    </xf>
    <xf numFmtId="10" fontId="25" fillId="20" borderId="16" xfId="0" applyNumberFormat="1" applyFont="1" applyFill="1" applyBorder="1" applyAlignment="1">
      <alignment horizontal="right"/>
    </xf>
    <xf numFmtId="10" fontId="10" fillId="20" borderId="28" xfId="0" applyNumberFormat="1" applyFont="1" applyFill="1" applyBorder="1" applyAlignment="1">
      <alignment horizontal="right"/>
    </xf>
    <xf numFmtId="10" fontId="3" fillId="20" borderId="28" xfId="0" applyNumberFormat="1" applyFont="1" applyFill="1" applyBorder="1" applyAlignment="1">
      <alignment horizontal="right"/>
    </xf>
    <xf numFmtId="10" fontId="16" fillId="20" borderId="34" xfId="0" applyNumberFormat="1" applyFont="1" applyFill="1" applyBorder="1" applyAlignment="1">
      <alignment horizontal="right"/>
    </xf>
    <xf numFmtId="10" fontId="27" fillId="20" borderId="28" xfId="0" applyNumberFormat="1" applyFont="1" applyFill="1" applyBorder="1" applyAlignment="1">
      <alignment horizontal="right"/>
    </xf>
    <xf numFmtId="10" fontId="7" fillId="20" borderId="34" xfId="0" applyNumberFormat="1" applyFont="1" applyFill="1" applyBorder="1" applyAlignment="1">
      <alignment horizontal="right"/>
    </xf>
    <xf numFmtId="10" fontId="18" fillId="20" borderId="34" xfId="0" applyNumberFormat="1" applyFont="1" applyFill="1" applyBorder="1" applyAlignment="1">
      <alignment horizontal="right"/>
    </xf>
    <xf numFmtId="10" fontId="20" fillId="20" borderId="16" xfId="0" applyNumberFormat="1" applyFont="1" applyFill="1" applyBorder="1" applyAlignment="1">
      <alignment horizontal="right"/>
    </xf>
    <xf numFmtId="10" fontId="27" fillId="20" borderId="16" xfId="0" applyNumberFormat="1" applyFont="1" applyFill="1" applyBorder="1" applyAlignment="1">
      <alignment horizontal="right"/>
    </xf>
    <xf numFmtId="10" fontId="5" fillId="20" borderId="22" xfId="0" applyNumberFormat="1" applyFont="1" applyFill="1" applyBorder="1" applyAlignment="1">
      <alignment horizontal="right"/>
    </xf>
    <xf numFmtId="10" fontId="10" fillId="20" borderId="22" xfId="0" applyNumberFormat="1" applyFont="1" applyFill="1" applyBorder="1" applyAlignment="1">
      <alignment horizontal="right"/>
    </xf>
    <xf numFmtId="10" fontId="15" fillId="20" borderId="22" xfId="0" applyNumberFormat="1" applyFont="1" applyFill="1" applyBorder="1" applyAlignment="1">
      <alignment horizontal="right"/>
    </xf>
    <xf numFmtId="10" fontId="27" fillId="20" borderId="22" xfId="0" applyNumberFormat="1" applyFont="1" applyFill="1" applyBorder="1" applyAlignment="1">
      <alignment horizontal="right"/>
    </xf>
    <xf numFmtId="10" fontId="11" fillId="20" borderId="28" xfId="0" applyNumberFormat="1" applyFont="1" applyFill="1" applyBorder="1" applyAlignment="1">
      <alignment horizontal="right"/>
    </xf>
    <xf numFmtId="10" fontId="30" fillId="20" borderId="16" xfId="0" applyNumberFormat="1" applyFont="1" applyFill="1" applyBorder="1" applyAlignment="1">
      <alignment horizontal="right"/>
    </xf>
    <xf numFmtId="10" fontId="30" fillId="20" borderId="28" xfId="0" applyNumberFormat="1" applyFont="1" applyFill="1" applyBorder="1" applyAlignment="1">
      <alignment horizontal="right"/>
    </xf>
    <xf numFmtId="0" fontId="0" fillId="20" borderId="45"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185E5-EBB2-4916-BB79-E842F030E88A}">
  <dimension ref="A1:AI1019"/>
  <sheetViews>
    <sheetView tabSelected="1" workbookViewId="0">
      <selection activeCell="AM6" sqref="AM6"/>
    </sheetView>
  </sheetViews>
  <sheetFormatPr defaultRowHeight="15" x14ac:dyDescent="0.25"/>
  <cols>
    <col min="1" max="1" width="16.85546875" style="11" customWidth="1"/>
    <col min="2" max="2" width="15.7109375" style="11" customWidth="1"/>
    <col min="3" max="3" width="34.5703125" style="11" customWidth="1"/>
    <col min="4" max="4" width="20.28515625" style="11" customWidth="1"/>
    <col min="5" max="5" width="16.140625" style="11" customWidth="1"/>
    <col min="6" max="6" width="9.140625" style="11"/>
    <col min="7" max="7" width="20.85546875" style="11" customWidth="1"/>
    <col min="8" max="9" width="9.140625" style="11"/>
    <col min="10" max="10" width="3.42578125" style="231" customWidth="1"/>
    <col min="11" max="11" width="9.140625" style="400"/>
    <col min="12" max="16" width="9.140625" style="401"/>
    <col min="17" max="22" width="9.140625" style="580"/>
    <col min="23" max="28" width="9.140625" style="766"/>
    <col min="29" max="33" width="9.140625" style="910"/>
    <col min="34" max="34" width="9.140625" style="994"/>
    <col min="35" max="35" width="80.42578125" customWidth="1"/>
  </cols>
  <sheetData>
    <row r="1" spans="1:35" ht="27" thickBot="1" x14ac:dyDescent="0.45">
      <c r="A1" s="9" t="s">
        <v>0</v>
      </c>
      <c r="B1" s="9"/>
      <c r="C1" s="9"/>
      <c r="D1" s="9"/>
      <c r="E1" s="9"/>
      <c r="F1" s="9"/>
      <c r="G1" s="9"/>
      <c r="H1" s="9"/>
      <c r="I1" s="9"/>
      <c r="J1" s="206"/>
      <c r="K1" s="1" t="s">
        <v>1</v>
      </c>
      <c r="L1" s="2"/>
      <c r="M1" s="2"/>
      <c r="N1" s="2"/>
      <c r="O1" s="2"/>
      <c r="P1" s="2"/>
      <c r="Q1" s="2"/>
      <c r="R1" s="2"/>
      <c r="S1" s="2"/>
      <c r="T1" s="2"/>
      <c r="U1" s="2"/>
      <c r="V1" s="2"/>
      <c r="W1" s="2"/>
      <c r="X1" s="2"/>
      <c r="Y1" s="2"/>
      <c r="Z1" s="2"/>
      <c r="AA1" s="2"/>
      <c r="AB1" s="2"/>
      <c r="AC1" s="2"/>
      <c r="AD1" s="2"/>
      <c r="AE1" s="2"/>
      <c r="AF1" s="2"/>
      <c r="AG1" s="2"/>
      <c r="AH1" s="3"/>
      <c r="AI1" s="4"/>
    </row>
    <row r="2" spans="1:35" x14ac:dyDescent="0.25">
      <c r="A2" s="10"/>
      <c r="B2" s="10"/>
      <c r="C2" s="10"/>
      <c r="D2" s="10"/>
      <c r="E2" s="10"/>
      <c r="F2" s="12"/>
      <c r="G2" s="10"/>
      <c r="H2" s="10"/>
      <c r="I2" s="10"/>
      <c r="J2" s="207"/>
      <c r="L2" s="233"/>
      <c r="M2" s="232" t="s">
        <v>2</v>
      </c>
      <c r="N2" s="235"/>
      <c r="O2" s="234"/>
      <c r="P2" s="235"/>
      <c r="R2" s="403"/>
      <c r="S2" s="402" t="s">
        <v>3</v>
      </c>
      <c r="T2" s="404"/>
      <c r="U2" s="402"/>
      <c r="V2" s="404"/>
      <c r="X2" s="582"/>
      <c r="Y2" s="581" t="s">
        <v>4</v>
      </c>
      <c r="Z2" s="583"/>
      <c r="AA2" s="581"/>
      <c r="AB2" s="583"/>
      <c r="AD2" s="768"/>
      <c r="AE2" s="767" t="s">
        <v>5</v>
      </c>
      <c r="AF2" s="769"/>
      <c r="AG2" s="767"/>
      <c r="AH2" s="953"/>
      <c r="AI2" s="4"/>
    </row>
    <row r="3" spans="1:35" ht="15.75" thickBot="1" x14ac:dyDescent="0.3">
      <c r="A3" s="10"/>
      <c r="B3" s="10"/>
      <c r="C3" s="10"/>
      <c r="D3" s="10"/>
      <c r="E3" s="10"/>
      <c r="F3" s="12"/>
      <c r="G3" s="10"/>
      <c r="H3" s="10"/>
      <c r="I3" s="10"/>
      <c r="J3" s="207"/>
      <c r="L3" s="237"/>
      <c r="M3" s="236">
        <v>1051917</v>
      </c>
      <c r="N3" s="239"/>
      <c r="O3" s="238"/>
      <c r="P3" s="239"/>
      <c r="R3" s="406"/>
      <c r="S3" s="405">
        <v>578592</v>
      </c>
      <c r="T3" s="407"/>
      <c r="U3" s="405"/>
      <c r="V3" s="407"/>
      <c r="X3" s="585"/>
      <c r="Y3" s="584">
        <v>189789</v>
      </c>
      <c r="Z3" s="586"/>
      <c r="AA3" s="584"/>
      <c r="AB3" s="586"/>
      <c r="AD3" s="771"/>
      <c r="AE3" s="770">
        <v>263509</v>
      </c>
      <c r="AF3" s="772"/>
      <c r="AG3" s="770"/>
      <c r="AH3" s="954"/>
      <c r="AI3" s="4"/>
    </row>
    <row r="4" spans="1:35" ht="51.75" thickBot="1" x14ac:dyDescent="0.3">
      <c r="A4" s="5" t="s">
        <v>6</v>
      </c>
      <c r="B4" s="6" t="s">
        <v>7</v>
      </c>
      <c r="C4" s="6" t="s">
        <v>8</v>
      </c>
      <c r="D4" s="6" t="s">
        <v>9</v>
      </c>
      <c r="E4" s="6" t="s">
        <v>10</v>
      </c>
      <c r="F4" s="7" t="s">
        <v>11</v>
      </c>
      <c r="G4" s="8" t="s">
        <v>12</v>
      </c>
      <c r="H4" s="5" t="s">
        <v>13</v>
      </c>
      <c r="I4" s="6" t="s">
        <v>14</v>
      </c>
      <c r="J4" s="208"/>
      <c r="K4" s="240" t="s">
        <v>15</v>
      </c>
      <c r="L4" s="241" t="s">
        <v>16</v>
      </c>
      <c r="M4" s="242" t="s">
        <v>17</v>
      </c>
      <c r="N4" s="243" t="s">
        <v>18</v>
      </c>
      <c r="O4" s="242" t="s">
        <v>19</v>
      </c>
      <c r="P4" s="244" t="s">
        <v>20</v>
      </c>
      <c r="Q4" s="408" t="s">
        <v>21</v>
      </c>
      <c r="R4" s="409" t="s">
        <v>22</v>
      </c>
      <c r="S4" s="410" t="s">
        <v>23</v>
      </c>
      <c r="T4" s="411" t="s">
        <v>24</v>
      </c>
      <c r="U4" s="410" t="s">
        <v>25</v>
      </c>
      <c r="V4" s="412" t="s">
        <v>26</v>
      </c>
      <c r="W4" s="587" t="s">
        <v>27</v>
      </c>
      <c r="X4" s="588" t="s">
        <v>28</v>
      </c>
      <c r="Y4" s="589" t="s">
        <v>29</v>
      </c>
      <c r="Z4" s="590" t="s">
        <v>30</v>
      </c>
      <c r="AA4" s="589" t="s">
        <v>31</v>
      </c>
      <c r="AB4" s="591" t="s">
        <v>32</v>
      </c>
      <c r="AC4" s="773" t="s">
        <v>33</v>
      </c>
      <c r="AD4" s="774" t="s">
        <v>34</v>
      </c>
      <c r="AE4" s="775" t="s">
        <v>35</v>
      </c>
      <c r="AF4" s="776" t="s">
        <v>36</v>
      </c>
      <c r="AG4" s="775" t="s">
        <v>37</v>
      </c>
      <c r="AH4" s="955" t="s">
        <v>38</v>
      </c>
      <c r="AI4" s="911" t="s">
        <v>3780</v>
      </c>
    </row>
    <row r="5" spans="1:35" ht="26.25" x14ac:dyDescent="0.25">
      <c r="A5" s="13" t="s">
        <v>39</v>
      </c>
      <c r="B5" s="14" t="s">
        <v>40</v>
      </c>
      <c r="C5" s="14" t="s">
        <v>41</v>
      </c>
      <c r="D5" s="14" t="s">
        <v>42</v>
      </c>
      <c r="E5" s="14" t="s">
        <v>43</v>
      </c>
      <c r="F5" s="15"/>
      <c r="G5" s="16" t="s">
        <v>44</v>
      </c>
      <c r="H5" s="13" t="s">
        <v>45</v>
      </c>
      <c r="I5" s="17" t="s">
        <v>46</v>
      </c>
      <c r="J5" s="209"/>
      <c r="K5" s="245"/>
      <c r="L5" s="246"/>
      <c r="M5" s="247"/>
      <c r="N5" s="248"/>
      <c r="O5" s="247"/>
      <c r="P5" s="249"/>
      <c r="Q5" s="413"/>
      <c r="R5" s="414"/>
      <c r="S5" s="415"/>
      <c r="T5" s="416"/>
      <c r="U5" s="415"/>
      <c r="V5" s="417"/>
      <c r="W5" s="592"/>
      <c r="X5" s="593"/>
      <c r="Y5" s="594"/>
      <c r="Z5" s="595"/>
      <c r="AA5" s="594"/>
      <c r="AB5" s="596"/>
      <c r="AC5" s="777"/>
      <c r="AD5" s="778"/>
      <c r="AE5" s="779"/>
      <c r="AF5" s="780"/>
      <c r="AG5" s="779"/>
      <c r="AH5" s="956"/>
      <c r="AI5" s="912" t="s">
        <v>47</v>
      </c>
    </row>
    <row r="6" spans="1:35" ht="48" customHeight="1" x14ac:dyDescent="0.25">
      <c r="A6" s="18" t="s">
        <v>48</v>
      </c>
      <c r="B6" s="19" t="s">
        <v>40</v>
      </c>
      <c r="C6" s="19" t="s">
        <v>41</v>
      </c>
      <c r="D6" s="19" t="s">
        <v>42</v>
      </c>
      <c r="E6" s="19" t="s">
        <v>49</v>
      </c>
      <c r="F6" s="20"/>
      <c r="G6" s="21" t="s">
        <v>50</v>
      </c>
      <c r="H6" s="22" t="s">
        <v>51</v>
      </c>
      <c r="I6" s="19" t="s">
        <v>52</v>
      </c>
      <c r="J6" s="210"/>
      <c r="K6" s="250"/>
      <c r="L6" s="251"/>
      <c r="M6" s="252"/>
      <c r="N6" s="253"/>
      <c r="O6" s="252"/>
      <c r="P6" s="254"/>
      <c r="Q6" s="418"/>
      <c r="R6" s="419"/>
      <c r="S6" s="420"/>
      <c r="T6" s="421"/>
      <c r="U6" s="420"/>
      <c r="V6" s="422"/>
      <c r="W6" s="597"/>
      <c r="X6" s="598"/>
      <c r="Y6" s="599"/>
      <c r="Z6" s="600"/>
      <c r="AA6" s="599"/>
      <c r="AB6" s="601"/>
      <c r="AC6" s="781"/>
      <c r="AD6" s="782"/>
      <c r="AE6" s="783"/>
      <c r="AF6" s="784"/>
      <c r="AG6" s="783"/>
      <c r="AH6" s="957"/>
      <c r="AI6" s="913" t="s">
        <v>53</v>
      </c>
    </row>
    <row r="7" spans="1:35" ht="26.25" x14ac:dyDescent="0.25">
      <c r="A7" s="23" t="s">
        <v>54</v>
      </c>
      <c r="B7" s="24" t="s">
        <v>40</v>
      </c>
      <c r="C7" s="24" t="s">
        <v>41</v>
      </c>
      <c r="D7" s="24" t="s">
        <v>42</v>
      </c>
      <c r="E7" s="24"/>
      <c r="F7" s="25" t="s">
        <v>55</v>
      </c>
      <c r="G7" s="26" t="s">
        <v>56</v>
      </c>
      <c r="H7" s="23"/>
      <c r="I7" s="24"/>
      <c r="J7" s="210"/>
      <c r="K7" s="250" t="s">
        <v>57</v>
      </c>
      <c r="L7" s="251" t="s">
        <v>58</v>
      </c>
      <c r="M7" s="255">
        <f>(1015917/150000)-K7</f>
        <v>4.77278</v>
      </c>
      <c r="N7" s="256">
        <f>525958/150000</f>
        <v>3.5063866666666668</v>
      </c>
      <c r="O7" s="255">
        <f>(1051917/100000)-K7</f>
        <v>8.5191700000000008</v>
      </c>
      <c r="P7" s="257">
        <f>525958/100000</f>
        <v>5.2595799999999997</v>
      </c>
      <c r="Q7" s="423" t="s">
        <v>57</v>
      </c>
      <c r="R7" s="424" t="s">
        <v>59</v>
      </c>
      <c r="S7" s="425">
        <f>(578592/150000)-Q7</f>
        <v>1.8572799999999998</v>
      </c>
      <c r="T7" s="426">
        <f>289296/150000</f>
        <v>1.9286399999999999</v>
      </c>
      <c r="U7" s="425">
        <f>(578592/100000)-Q7</f>
        <v>3.78592</v>
      </c>
      <c r="V7" s="427">
        <f>289296/100000</f>
        <v>2.89296</v>
      </c>
      <c r="W7" s="602" t="s">
        <v>60</v>
      </c>
      <c r="X7" s="603" t="s">
        <v>61</v>
      </c>
      <c r="Y7" s="604">
        <f>(189789/150000)-W7</f>
        <v>1.2652600000000001</v>
      </c>
      <c r="Z7" s="605" t="s">
        <v>61</v>
      </c>
      <c r="AA7" s="604">
        <f>(189789/100000)-W7</f>
        <v>1.8978900000000001</v>
      </c>
      <c r="AB7" s="606" t="s">
        <v>61</v>
      </c>
      <c r="AC7" s="785" t="s">
        <v>60</v>
      </c>
      <c r="AD7" s="786" t="s">
        <v>61</v>
      </c>
      <c r="AE7" s="787">
        <f>(263509/150000)-AC7</f>
        <v>1.7567266666666668</v>
      </c>
      <c r="AF7" s="788" t="s">
        <v>61</v>
      </c>
      <c r="AG7" s="787">
        <f>(263509/100000)-AC7</f>
        <v>2.6350899999999999</v>
      </c>
      <c r="AH7" s="889" t="s">
        <v>61</v>
      </c>
      <c r="AI7" s="914" t="s">
        <v>62</v>
      </c>
    </row>
    <row r="8" spans="1:35" ht="26.25" x14ac:dyDescent="0.25">
      <c r="A8" s="23" t="s">
        <v>54</v>
      </c>
      <c r="B8" s="24" t="s">
        <v>40</v>
      </c>
      <c r="C8" s="24" t="s">
        <v>41</v>
      </c>
      <c r="D8" s="24" t="s">
        <v>42</v>
      </c>
      <c r="E8" s="24"/>
      <c r="F8" s="25" t="s">
        <v>63</v>
      </c>
      <c r="G8" s="26" t="s">
        <v>56</v>
      </c>
      <c r="H8" s="23"/>
      <c r="I8" s="24"/>
      <c r="J8" s="210"/>
      <c r="K8" s="250" t="s">
        <v>64</v>
      </c>
      <c r="L8" s="251" t="s">
        <v>65</v>
      </c>
      <c r="M8" s="258">
        <f>(1015917/150000)-K8</f>
        <v>-11.227219999999999</v>
      </c>
      <c r="N8" s="259">
        <f>58439/150000</f>
        <v>0.38959333333333335</v>
      </c>
      <c r="O8" s="258">
        <f>(1051917/100000)-K8</f>
        <v>-7.4808299999999992</v>
      </c>
      <c r="P8" s="260">
        <f>58439/100000</f>
        <v>0.58438999999999997</v>
      </c>
      <c r="Q8" s="423" t="s">
        <v>66</v>
      </c>
      <c r="R8" s="424" t="s">
        <v>67</v>
      </c>
      <c r="S8" s="428">
        <f>(578592/150000)-Q8</f>
        <v>-7.1427200000000006</v>
      </c>
      <c r="T8" s="429">
        <f>52599/150000</f>
        <v>0.35066000000000003</v>
      </c>
      <c r="U8" s="428">
        <f>(578592/100000)-Q8</f>
        <v>-5.21408</v>
      </c>
      <c r="V8" s="430">
        <f>52599/100000</f>
        <v>0.52598999999999996</v>
      </c>
      <c r="W8" s="607" t="s">
        <v>68</v>
      </c>
      <c r="X8" s="603" t="s">
        <v>69</v>
      </c>
      <c r="Y8" s="608">
        <f>(189789/150000)-W8</f>
        <v>-2.7347399999999999</v>
      </c>
      <c r="Z8" s="609">
        <f>47447/150000</f>
        <v>0.31631333333333334</v>
      </c>
      <c r="AA8" s="608">
        <f>(189789/100000)-W8</f>
        <v>-2.1021099999999997</v>
      </c>
      <c r="AB8" s="610">
        <f>47447/100000</f>
        <v>0.47447</v>
      </c>
      <c r="AC8" s="789" t="s">
        <v>70</v>
      </c>
      <c r="AD8" s="786" t="s">
        <v>71</v>
      </c>
      <c r="AE8" s="790">
        <f>(263509/150000)-AC8</f>
        <v>-1.2432733333333332</v>
      </c>
      <c r="AF8" s="791">
        <f>87836/150000</f>
        <v>0.58557333333333328</v>
      </c>
      <c r="AG8" s="790">
        <f>(263509/100000)-AC8</f>
        <v>-0.36491000000000007</v>
      </c>
      <c r="AH8" s="958">
        <f>87836/100000</f>
        <v>0.87836000000000003</v>
      </c>
      <c r="AI8" s="914"/>
    </row>
    <row r="9" spans="1:35" ht="51.75" customHeight="1" x14ac:dyDescent="0.25">
      <c r="A9" s="27" t="s">
        <v>54</v>
      </c>
      <c r="B9" s="28" t="s">
        <v>40</v>
      </c>
      <c r="C9" s="28" t="s">
        <v>41</v>
      </c>
      <c r="D9" s="28" t="s">
        <v>42</v>
      </c>
      <c r="E9" s="28"/>
      <c r="F9" s="29" t="s">
        <v>72</v>
      </c>
      <c r="G9" s="30" t="s">
        <v>56</v>
      </c>
      <c r="H9" s="27"/>
      <c r="I9" s="28" t="s">
        <v>73</v>
      </c>
      <c r="J9" s="211"/>
      <c r="K9" s="261" t="s">
        <v>74</v>
      </c>
      <c r="L9" s="262" t="s">
        <v>75</v>
      </c>
      <c r="M9" s="263">
        <f>(1015917/150000)-K9</f>
        <v>-13.227219999999999</v>
      </c>
      <c r="N9" s="264">
        <f>52595/150000</f>
        <v>0.35063333333333335</v>
      </c>
      <c r="O9" s="263">
        <f>(1051917/100000)-K9</f>
        <v>-9.4808299999999992</v>
      </c>
      <c r="P9" s="265">
        <f>52595/100000</f>
        <v>0.52595000000000003</v>
      </c>
      <c r="Q9" s="431" t="s">
        <v>76</v>
      </c>
      <c r="R9" s="432" t="s">
        <v>77</v>
      </c>
      <c r="S9" s="433">
        <f>(578592/150000)-Q9</f>
        <v>-9.1427200000000006</v>
      </c>
      <c r="T9" s="434">
        <f>44507/150000</f>
        <v>0.29671333333333333</v>
      </c>
      <c r="U9" s="433">
        <f>(578592/100000)-Q9</f>
        <v>-7.21408</v>
      </c>
      <c r="V9" s="435">
        <f>44507/100000</f>
        <v>0.44507000000000002</v>
      </c>
      <c r="W9" s="611" t="s">
        <v>68</v>
      </c>
      <c r="X9" s="612" t="s">
        <v>69</v>
      </c>
      <c r="Y9" s="613">
        <f>(189789/150000)-W9</f>
        <v>-2.7347399999999999</v>
      </c>
      <c r="Z9" s="614">
        <f>47447/150000</f>
        <v>0.31631333333333334</v>
      </c>
      <c r="AA9" s="613">
        <f>(189789/100000)-W9</f>
        <v>-2.1021099999999997</v>
      </c>
      <c r="AB9" s="615">
        <f>47447/100000</f>
        <v>0.47447</v>
      </c>
      <c r="AC9" s="792" t="s">
        <v>70</v>
      </c>
      <c r="AD9" s="793" t="s">
        <v>71</v>
      </c>
      <c r="AE9" s="794">
        <f>(263509/150000)-AC9</f>
        <v>-1.2432733333333332</v>
      </c>
      <c r="AF9" s="795">
        <f>87836/150000</f>
        <v>0.58557333333333328</v>
      </c>
      <c r="AG9" s="794">
        <f>(263509/100000)-AC9</f>
        <v>-0.36491000000000007</v>
      </c>
      <c r="AH9" s="959">
        <f>87836/100000</f>
        <v>0.87836000000000003</v>
      </c>
      <c r="AI9" s="915"/>
    </row>
    <row r="10" spans="1:35" ht="39" x14ac:dyDescent="0.25">
      <c r="A10" s="18" t="s">
        <v>78</v>
      </c>
      <c r="B10" s="19" t="s">
        <v>40</v>
      </c>
      <c r="C10" s="19" t="s">
        <v>41</v>
      </c>
      <c r="D10" s="19" t="s">
        <v>79</v>
      </c>
      <c r="E10" s="19" t="s">
        <v>80</v>
      </c>
      <c r="F10" s="20"/>
      <c r="G10" s="21" t="s">
        <v>81</v>
      </c>
      <c r="H10" s="22" t="s">
        <v>82</v>
      </c>
      <c r="I10" s="19" t="s">
        <v>83</v>
      </c>
      <c r="J10" s="210"/>
      <c r="K10" s="250"/>
      <c r="L10" s="251"/>
      <c r="M10" s="252"/>
      <c r="N10" s="253"/>
      <c r="O10" s="252"/>
      <c r="P10" s="254"/>
      <c r="Q10" s="418"/>
      <c r="R10" s="419"/>
      <c r="S10" s="420"/>
      <c r="T10" s="421"/>
      <c r="U10" s="420"/>
      <c r="V10" s="422"/>
      <c r="W10" s="597"/>
      <c r="X10" s="598"/>
      <c r="Y10" s="599"/>
      <c r="Z10" s="600"/>
      <c r="AA10" s="599"/>
      <c r="AB10" s="601"/>
      <c r="AC10" s="781"/>
      <c r="AD10" s="782"/>
      <c r="AE10" s="783"/>
      <c r="AF10" s="784"/>
      <c r="AG10" s="783"/>
      <c r="AH10" s="957"/>
      <c r="AI10" s="913" t="s">
        <v>84</v>
      </c>
    </row>
    <row r="11" spans="1:35" ht="39" x14ac:dyDescent="0.25">
      <c r="A11" s="18" t="s">
        <v>85</v>
      </c>
      <c r="B11" s="19" t="s">
        <v>40</v>
      </c>
      <c r="C11" s="19" t="s">
        <v>41</v>
      </c>
      <c r="D11" s="19" t="s">
        <v>79</v>
      </c>
      <c r="E11" s="19" t="s">
        <v>86</v>
      </c>
      <c r="F11" s="20"/>
      <c r="G11" s="21" t="s">
        <v>87</v>
      </c>
      <c r="H11" s="22" t="s">
        <v>88</v>
      </c>
      <c r="I11" s="19" t="s">
        <v>89</v>
      </c>
      <c r="J11" s="210"/>
      <c r="K11" s="250"/>
      <c r="L11" s="251"/>
      <c r="M11" s="252"/>
      <c r="N11" s="253"/>
      <c r="O11" s="252"/>
      <c r="P11" s="254"/>
      <c r="Q11" s="418"/>
      <c r="R11" s="419"/>
      <c r="S11" s="420"/>
      <c r="T11" s="421"/>
      <c r="U11" s="420"/>
      <c r="V11" s="422"/>
      <c r="W11" s="597"/>
      <c r="X11" s="598"/>
      <c r="Y11" s="599"/>
      <c r="Z11" s="600"/>
      <c r="AA11" s="599"/>
      <c r="AB11" s="601"/>
      <c r="AC11" s="781"/>
      <c r="AD11" s="782"/>
      <c r="AE11" s="783"/>
      <c r="AF11" s="784"/>
      <c r="AG11" s="783"/>
      <c r="AH11" s="957"/>
      <c r="AI11" s="913" t="s">
        <v>90</v>
      </c>
    </row>
    <row r="12" spans="1:35" ht="51.75" x14ac:dyDescent="0.25">
      <c r="A12" s="18" t="s">
        <v>91</v>
      </c>
      <c r="B12" s="19" t="s">
        <v>40</v>
      </c>
      <c r="C12" s="19" t="s">
        <v>41</v>
      </c>
      <c r="D12" s="19" t="s">
        <v>79</v>
      </c>
      <c r="E12" s="19" t="s">
        <v>92</v>
      </c>
      <c r="F12" s="20"/>
      <c r="G12" s="21" t="s">
        <v>93</v>
      </c>
      <c r="H12" s="22" t="s">
        <v>94</v>
      </c>
      <c r="I12" s="19" t="s">
        <v>89</v>
      </c>
      <c r="J12" s="210"/>
      <c r="K12" s="250"/>
      <c r="L12" s="251"/>
      <c r="M12" s="252"/>
      <c r="N12" s="253"/>
      <c r="O12" s="252"/>
      <c r="P12" s="254"/>
      <c r="Q12" s="418"/>
      <c r="R12" s="419"/>
      <c r="S12" s="420"/>
      <c r="T12" s="421"/>
      <c r="U12" s="420"/>
      <c r="V12" s="422"/>
      <c r="W12" s="597"/>
      <c r="X12" s="598"/>
      <c r="Y12" s="599"/>
      <c r="Z12" s="600"/>
      <c r="AA12" s="599"/>
      <c r="AB12" s="601"/>
      <c r="AC12" s="781"/>
      <c r="AD12" s="782"/>
      <c r="AE12" s="783"/>
      <c r="AF12" s="784"/>
      <c r="AG12" s="783"/>
      <c r="AH12" s="957"/>
      <c r="AI12" s="913" t="s">
        <v>95</v>
      </c>
    </row>
    <row r="13" spans="1:35" ht="39" x14ac:dyDescent="0.25">
      <c r="A13" s="18" t="s">
        <v>96</v>
      </c>
      <c r="B13" s="19" t="s">
        <v>40</v>
      </c>
      <c r="C13" s="19" t="s">
        <v>41</v>
      </c>
      <c r="D13" s="19" t="s">
        <v>79</v>
      </c>
      <c r="E13" s="19" t="s">
        <v>97</v>
      </c>
      <c r="F13" s="20"/>
      <c r="G13" s="21" t="s">
        <v>98</v>
      </c>
      <c r="H13" s="22" t="s">
        <v>99</v>
      </c>
      <c r="I13" s="19" t="s">
        <v>89</v>
      </c>
      <c r="J13" s="210"/>
      <c r="K13" s="250"/>
      <c r="L13" s="251"/>
      <c r="M13" s="252"/>
      <c r="N13" s="253"/>
      <c r="O13" s="252"/>
      <c r="P13" s="254"/>
      <c r="Q13" s="418"/>
      <c r="R13" s="419"/>
      <c r="S13" s="420"/>
      <c r="T13" s="421"/>
      <c r="U13" s="420"/>
      <c r="V13" s="422"/>
      <c r="W13" s="597"/>
      <c r="X13" s="598"/>
      <c r="Y13" s="599"/>
      <c r="Z13" s="600"/>
      <c r="AA13" s="599"/>
      <c r="AB13" s="601"/>
      <c r="AC13" s="781"/>
      <c r="AD13" s="782"/>
      <c r="AE13" s="783"/>
      <c r="AF13" s="784"/>
      <c r="AG13" s="783"/>
      <c r="AH13" s="957"/>
      <c r="AI13" s="913" t="s">
        <v>90</v>
      </c>
    </row>
    <row r="14" spans="1:35" ht="26.25" x14ac:dyDescent="0.25">
      <c r="A14" s="18" t="s">
        <v>100</v>
      </c>
      <c r="B14" s="19" t="s">
        <v>40</v>
      </c>
      <c r="C14" s="19" t="s">
        <v>41</v>
      </c>
      <c r="D14" s="19" t="s">
        <v>79</v>
      </c>
      <c r="E14" s="19" t="s">
        <v>101</v>
      </c>
      <c r="F14" s="20"/>
      <c r="G14" s="21" t="s">
        <v>102</v>
      </c>
      <c r="H14" s="22" t="s">
        <v>103</v>
      </c>
      <c r="I14" s="19" t="s">
        <v>73</v>
      </c>
      <c r="J14" s="210"/>
      <c r="K14" s="250"/>
      <c r="L14" s="251"/>
      <c r="M14" s="252"/>
      <c r="N14" s="253"/>
      <c r="O14" s="252"/>
      <c r="P14" s="254"/>
      <c r="Q14" s="418"/>
      <c r="R14" s="419"/>
      <c r="S14" s="420"/>
      <c r="T14" s="421"/>
      <c r="U14" s="420"/>
      <c r="V14" s="422"/>
      <c r="W14" s="597"/>
      <c r="X14" s="598"/>
      <c r="Y14" s="599"/>
      <c r="Z14" s="600"/>
      <c r="AA14" s="599"/>
      <c r="AB14" s="601"/>
      <c r="AC14" s="781"/>
      <c r="AD14" s="782"/>
      <c r="AE14" s="783"/>
      <c r="AF14" s="784"/>
      <c r="AG14" s="783"/>
      <c r="AH14" s="957"/>
      <c r="AI14" s="913" t="s">
        <v>104</v>
      </c>
    </row>
    <row r="15" spans="1:35" ht="39" x14ac:dyDescent="0.25">
      <c r="A15" s="18" t="s">
        <v>105</v>
      </c>
      <c r="B15" s="19" t="s">
        <v>40</v>
      </c>
      <c r="C15" s="19" t="s">
        <v>41</v>
      </c>
      <c r="D15" s="19" t="s">
        <v>79</v>
      </c>
      <c r="E15" s="19" t="s">
        <v>106</v>
      </c>
      <c r="F15" s="20"/>
      <c r="G15" s="21" t="s">
        <v>107</v>
      </c>
      <c r="H15" s="22" t="s">
        <v>108</v>
      </c>
      <c r="I15" s="19" t="s">
        <v>109</v>
      </c>
      <c r="J15" s="210"/>
      <c r="K15" s="250"/>
      <c r="L15" s="251"/>
      <c r="M15" s="252"/>
      <c r="N15" s="253"/>
      <c r="O15" s="252"/>
      <c r="P15" s="254"/>
      <c r="Q15" s="418"/>
      <c r="R15" s="419"/>
      <c r="S15" s="420"/>
      <c r="T15" s="421"/>
      <c r="U15" s="420"/>
      <c r="V15" s="422"/>
      <c r="W15" s="597"/>
      <c r="X15" s="598"/>
      <c r="Y15" s="599"/>
      <c r="Z15" s="600"/>
      <c r="AA15" s="599"/>
      <c r="AB15" s="601"/>
      <c r="AC15" s="781"/>
      <c r="AD15" s="782"/>
      <c r="AE15" s="783"/>
      <c r="AF15" s="784"/>
      <c r="AG15" s="783"/>
      <c r="AH15" s="957"/>
      <c r="AI15" s="913" t="s">
        <v>110</v>
      </c>
    </row>
    <row r="16" spans="1:35" ht="26.25" x14ac:dyDescent="0.25">
      <c r="A16" s="23" t="s">
        <v>105</v>
      </c>
      <c r="B16" s="24" t="s">
        <v>40</v>
      </c>
      <c r="C16" s="24" t="s">
        <v>41</v>
      </c>
      <c r="D16" s="24" t="s">
        <v>79</v>
      </c>
      <c r="E16" s="24"/>
      <c r="F16" s="25" t="s">
        <v>55</v>
      </c>
      <c r="G16" s="26" t="s">
        <v>111</v>
      </c>
      <c r="H16" s="23"/>
      <c r="I16" s="24"/>
      <c r="J16" s="210"/>
      <c r="K16" s="250" t="s">
        <v>112</v>
      </c>
      <c r="L16" s="251" t="s">
        <v>113</v>
      </c>
      <c r="M16" s="255">
        <f>(1051917/25000)-K16</f>
        <v>10.076680000000003</v>
      </c>
      <c r="N16" s="256">
        <f>32872/25000</f>
        <v>1.31488</v>
      </c>
      <c r="O16" s="255">
        <f>(1051917/20000)-K16</f>
        <v>20.595849999999999</v>
      </c>
      <c r="P16" s="257">
        <f>32872/20000</f>
        <v>1.6435999999999999</v>
      </c>
      <c r="Q16" s="418" t="s">
        <v>114</v>
      </c>
      <c r="R16" s="419" t="s">
        <v>115</v>
      </c>
      <c r="S16" s="436">
        <f>(578592/25000)-Q16</f>
        <v>0.14367999999999981</v>
      </c>
      <c r="T16" s="437">
        <f>25156/25000</f>
        <v>1.00624</v>
      </c>
      <c r="U16" s="436">
        <f>(578592/20000)-Q16</f>
        <v>5.9296000000000006</v>
      </c>
      <c r="V16" s="438">
        <f>25156/20000</f>
        <v>1.2578</v>
      </c>
      <c r="W16" s="597" t="s">
        <v>68</v>
      </c>
      <c r="X16" s="598" t="s">
        <v>69</v>
      </c>
      <c r="Y16" s="604">
        <f>(189789/25000)-W16</f>
        <v>3.5915600000000003</v>
      </c>
      <c r="Z16" s="605">
        <f>47447/25000</f>
        <v>1.89788</v>
      </c>
      <c r="AA16" s="604">
        <f>(189789/20000)-W16</f>
        <v>5.4894499999999997</v>
      </c>
      <c r="AB16" s="606">
        <f>47447/20000</f>
        <v>2.37235</v>
      </c>
      <c r="AC16" s="781" t="s">
        <v>116</v>
      </c>
      <c r="AD16" s="782" t="s">
        <v>117</v>
      </c>
      <c r="AE16" s="787">
        <f>(263509/25000)-AC16</f>
        <v>5.5403599999999997</v>
      </c>
      <c r="AF16" s="788">
        <f>52701/25000</f>
        <v>2.1080399999999999</v>
      </c>
      <c r="AG16" s="787">
        <f>(263509/20000)-AC16</f>
        <v>8.1754499999999997</v>
      </c>
      <c r="AH16" s="889">
        <f>52701/20000</f>
        <v>2.6350500000000001</v>
      </c>
      <c r="AI16" s="914" t="s">
        <v>90</v>
      </c>
    </row>
    <row r="17" spans="1:35" ht="26.25" x14ac:dyDescent="0.25">
      <c r="A17" s="23" t="s">
        <v>105</v>
      </c>
      <c r="B17" s="24" t="s">
        <v>40</v>
      </c>
      <c r="C17" s="24" t="s">
        <v>41</v>
      </c>
      <c r="D17" s="24" t="s">
        <v>79</v>
      </c>
      <c r="E17" s="24"/>
      <c r="F17" s="25" t="s">
        <v>63</v>
      </c>
      <c r="G17" s="26" t="s">
        <v>111</v>
      </c>
      <c r="H17" s="23"/>
      <c r="I17" s="24"/>
      <c r="J17" s="210"/>
      <c r="K17" s="250" t="s">
        <v>118</v>
      </c>
      <c r="L17" s="251" t="s">
        <v>119</v>
      </c>
      <c r="M17" s="258">
        <f>(1051917/25000)-K17</f>
        <v>-138.92331999999999</v>
      </c>
      <c r="N17" s="259">
        <f>5811/25000</f>
        <v>0.23244000000000001</v>
      </c>
      <c r="O17" s="258">
        <f>(1051917/20000)-K17</f>
        <v>-128.40415000000002</v>
      </c>
      <c r="P17" s="260">
        <f>5811/20000</f>
        <v>0.29054999999999997</v>
      </c>
      <c r="Q17" s="418" t="s">
        <v>120</v>
      </c>
      <c r="R17" s="419" t="s">
        <v>121</v>
      </c>
      <c r="S17" s="428">
        <f>(578592/25000)-Q17</f>
        <v>-101.85632</v>
      </c>
      <c r="T17" s="429">
        <f>4631/25000</f>
        <v>0.18523999999999999</v>
      </c>
      <c r="U17" s="428">
        <f>(578592/20000)-Q17</f>
        <v>-96.070400000000006</v>
      </c>
      <c r="V17" s="430">
        <f>4631/20000</f>
        <v>0.23155000000000001</v>
      </c>
      <c r="W17" s="597" t="s">
        <v>122</v>
      </c>
      <c r="X17" s="598" t="s">
        <v>123</v>
      </c>
      <c r="Y17" s="608">
        <f>(189789/25000)-W17</f>
        <v>-9.4084399999999988</v>
      </c>
      <c r="Z17" s="609">
        <f>11164/25000</f>
        <v>0.44656000000000001</v>
      </c>
      <c r="AA17" s="608">
        <f>(189789/20000)-W17</f>
        <v>-7.5105500000000003</v>
      </c>
      <c r="AB17" s="601">
        <f>11164/20000</f>
        <v>0.55820000000000003</v>
      </c>
      <c r="AC17" s="781" t="s">
        <v>124</v>
      </c>
      <c r="AD17" s="782" t="s">
        <v>125</v>
      </c>
      <c r="AE17" s="790">
        <f>(263509/25000)-AC17</f>
        <v>-28.45964</v>
      </c>
      <c r="AF17" s="791">
        <f>6756/25000</f>
        <v>0.27023999999999998</v>
      </c>
      <c r="AG17" s="790">
        <f>(263509/20000)-AC17</f>
        <v>-25.824550000000002</v>
      </c>
      <c r="AH17" s="957">
        <f>6756/20000</f>
        <v>0.33779999999999999</v>
      </c>
      <c r="AI17" s="914"/>
    </row>
    <row r="18" spans="1:35" ht="30" x14ac:dyDescent="0.25">
      <c r="A18" s="27" t="s">
        <v>105</v>
      </c>
      <c r="B18" s="28" t="s">
        <v>40</v>
      </c>
      <c r="C18" s="28" t="s">
        <v>41</v>
      </c>
      <c r="D18" s="28" t="s">
        <v>79</v>
      </c>
      <c r="E18" s="28"/>
      <c r="F18" s="29" t="s">
        <v>72</v>
      </c>
      <c r="G18" s="30" t="s">
        <v>111</v>
      </c>
      <c r="H18" s="27"/>
      <c r="I18" s="28" t="s">
        <v>126</v>
      </c>
      <c r="J18" s="211"/>
      <c r="K18" s="261" t="s">
        <v>127</v>
      </c>
      <c r="L18" s="262" t="s">
        <v>128</v>
      </c>
      <c r="M18" s="263">
        <f>(1051917/25000)-K18</f>
        <v>-170.92331999999999</v>
      </c>
      <c r="N18" s="264">
        <f>4938/25000</f>
        <v>0.19752</v>
      </c>
      <c r="O18" s="263">
        <f>(1051917/20000)-K18</f>
        <v>-160.40415000000002</v>
      </c>
      <c r="P18" s="265">
        <f>4938/20000</f>
        <v>0.24690000000000001</v>
      </c>
      <c r="Q18" s="431" t="s">
        <v>129</v>
      </c>
      <c r="R18" s="432" t="s">
        <v>130</v>
      </c>
      <c r="S18" s="433">
        <f>(578592/25000)-Q18</f>
        <v>-124.85632</v>
      </c>
      <c r="T18" s="434">
        <f>3909/25000</f>
        <v>0.15636</v>
      </c>
      <c r="U18" s="433">
        <f>(578592/20000)-Q18</f>
        <v>-119.07040000000001</v>
      </c>
      <c r="V18" s="435">
        <f>3909/20000</f>
        <v>0.19545000000000001</v>
      </c>
      <c r="W18" s="611" t="s">
        <v>131</v>
      </c>
      <c r="X18" s="612" t="s">
        <v>132</v>
      </c>
      <c r="Y18" s="613">
        <f>(189789/25000)-W18</f>
        <v>-13.408439999999999</v>
      </c>
      <c r="Z18" s="614">
        <f>9037/25000</f>
        <v>0.36148000000000002</v>
      </c>
      <c r="AA18" s="613">
        <f>(189789/20000)-W18</f>
        <v>-11.51055</v>
      </c>
      <c r="AB18" s="616">
        <f>9037/20000</f>
        <v>0.45184999999999997</v>
      </c>
      <c r="AC18" s="792" t="s">
        <v>133</v>
      </c>
      <c r="AD18" s="793" t="s">
        <v>134</v>
      </c>
      <c r="AE18" s="794">
        <f>(263509/25000)-AC18</f>
        <v>-33.45964</v>
      </c>
      <c r="AF18" s="795">
        <f>5988/25000</f>
        <v>0.23952000000000001</v>
      </c>
      <c r="AG18" s="794">
        <f>(263509/20000)-AC18</f>
        <v>-30.824550000000002</v>
      </c>
      <c r="AH18" s="960">
        <f>5988/20000</f>
        <v>0.2994</v>
      </c>
      <c r="AI18" s="915"/>
    </row>
    <row r="19" spans="1:35" ht="26.25" x14ac:dyDescent="0.25">
      <c r="A19" s="32" t="s">
        <v>135</v>
      </c>
      <c r="B19" s="33" t="s">
        <v>40</v>
      </c>
      <c r="C19" s="33" t="s">
        <v>41</v>
      </c>
      <c r="D19" s="33" t="s">
        <v>136</v>
      </c>
      <c r="E19" s="33"/>
      <c r="F19" s="34"/>
      <c r="G19" s="35" t="s">
        <v>137</v>
      </c>
      <c r="H19" s="32"/>
      <c r="I19" s="33" t="s">
        <v>138</v>
      </c>
      <c r="J19" s="210"/>
      <c r="K19" s="250"/>
      <c r="L19" s="251"/>
      <c r="M19" s="252"/>
      <c r="N19" s="253"/>
      <c r="O19" s="252"/>
      <c r="P19" s="254"/>
      <c r="Q19" s="418"/>
      <c r="R19" s="419"/>
      <c r="S19" s="420"/>
      <c r="T19" s="421"/>
      <c r="U19" s="420"/>
      <c r="V19" s="422"/>
      <c r="W19" s="597"/>
      <c r="X19" s="598"/>
      <c r="Y19" s="599"/>
      <c r="Z19" s="600"/>
      <c r="AA19" s="599"/>
      <c r="AB19" s="601"/>
      <c r="AC19" s="781"/>
      <c r="AD19" s="782"/>
      <c r="AE19" s="783"/>
      <c r="AF19" s="784"/>
      <c r="AG19" s="783"/>
      <c r="AH19" s="957"/>
      <c r="AI19" s="916" t="s">
        <v>139</v>
      </c>
    </row>
    <row r="20" spans="1:35" ht="26.25" x14ac:dyDescent="0.25">
      <c r="A20" s="37" t="s">
        <v>140</v>
      </c>
      <c r="B20" s="38" t="s">
        <v>40</v>
      </c>
      <c r="C20" s="38" t="s">
        <v>41</v>
      </c>
      <c r="D20" s="38" t="s">
        <v>141</v>
      </c>
      <c r="E20" s="38"/>
      <c r="F20" s="39" t="s">
        <v>55</v>
      </c>
      <c r="G20" s="40" t="s">
        <v>142</v>
      </c>
      <c r="H20" s="37"/>
      <c r="I20" s="38"/>
      <c r="J20" s="210"/>
      <c r="K20" s="250" t="s">
        <v>57</v>
      </c>
      <c r="L20" s="251" t="s">
        <v>58</v>
      </c>
      <c r="M20" s="255">
        <f>(1051917/250000)-K20</f>
        <v>2.207668</v>
      </c>
      <c r="N20" s="256">
        <f>525958/250000</f>
        <v>2.1038320000000001</v>
      </c>
      <c r="O20" s="255">
        <f>(1051917/200000)-K20</f>
        <v>3.2595850000000004</v>
      </c>
      <c r="P20" s="257">
        <f>525958/200000</f>
        <v>2.6297899999999998</v>
      </c>
      <c r="Q20" s="418" t="s">
        <v>57</v>
      </c>
      <c r="R20" s="419" t="s">
        <v>59</v>
      </c>
      <c r="S20" s="436">
        <f>(578592/250000)-Q20</f>
        <v>0.31436799999999998</v>
      </c>
      <c r="T20" s="437">
        <f>289296/250000</f>
        <v>1.157184</v>
      </c>
      <c r="U20" s="436">
        <f>(578592/200000)-Q20</f>
        <v>0.89295999999999998</v>
      </c>
      <c r="V20" s="438">
        <f>289296/200000</f>
        <v>1.44648</v>
      </c>
      <c r="W20" s="617" t="s">
        <v>60</v>
      </c>
      <c r="X20" s="598" t="s">
        <v>61</v>
      </c>
      <c r="Y20" s="604">
        <f>(189789/250000)-W20</f>
        <v>0.75915600000000005</v>
      </c>
      <c r="Z20" s="605" t="s">
        <v>61</v>
      </c>
      <c r="AA20" s="604">
        <f>(189789/200000)-W20</f>
        <v>0.94894500000000004</v>
      </c>
      <c r="AB20" s="606" t="s">
        <v>61</v>
      </c>
      <c r="AC20" s="796" t="s">
        <v>60</v>
      </c>
      <c r="AD20" s="782" t="s">
        <v>61</v>
      </c>
      <c r="AE20" s="787">
        <f>(263509/250000)-AC20</f>
        <v>1.054036</v>
      </c>
      <c r="AF20" s="788" t="s">
        <v>143</v>
      </c>
      <c r="AG20" s="787">
        <f>(263509/200000)-AC20</f>
        <v>1.317545</v>
      </c>
      <c r="AH20" s="889" t="s">
        <v>61</v>
      </c>
      <c r="AI20" s="917" t="s">
        <v>144</v>
      </c>
    </row>
    <row r="21" spans="1:35" ht="26.25" x14ac:dyDescent="0.25">
      <c r="A21" s="37" t="s">
        <v>140</v>
      </c>
      <c r="B21" s="38" t="s">
        <v>40</v>
      </c>
      <c r="C21" s="38" t="s">
        <v>41</v>
      </c>
      <c r="D21" s="38" t="s">
        <v>141</v>
      </c>
      <c r="E21" s="38"/>
      <c r="F21" s="39" t="s">
        <v>63</v>
      </c>
      <c r="G21" s="40" t="s">
        <v>142</v>
      </c>
      <c r="H21" s="37"/>
      <c r="I21" s="38"/>
      <c r="J21" s="210"/>
      <c r="K21" s="250" t="s">
        <v>145</v>
      </c>
      <c r="L21" s="251" t="s">
        <v>146</v>
      </c>
      <c r="M21" s="258">
        <f>(1051917/250000)-K21</f>
        <v>-1.792332</v>
      </c>
      <c r="N21" s="259">
        <f>175319/250000</f>
        <v>0.70127600000000001</v>
      </c>
      <c r="O21" s="258">
        <f>(1051917/200000)-K21</f>
        <v>-0.7404149999999996</v>
      </c>
      <c r="P21" s="260">
        <f>175319/200000</f>
        <v>0.87659500000000001</v>
      </c>
      <c r="Q21" s="418" t="s">
        <v>70</v>
      </c>
      <c r="R21" s="419" t="s">
        <v>147</v>
      </c>
      <c r="S21" s="428">
        <f>(578592/250000)-Q21</f>
        <v>-0.68563200000000002</v>
      </c>
      <c r="T21" s="429">
        <f>192864/250000</f>
        <v>0.77145600000000003</v>
      </c>
      <c r="U21" s="428">
        <f>(578592/200000)-Q21</f>
        <v>-0.10704000000000002</v>
      </c>
      <c r="V21" s="430">
        <f>192864/200000</f>
        <v>0.96431999999999995</v>
      </c>
      <c r="W21" s="597" t="s">
        <v>57</v>
      </c>
      <c r="X21" s="598" t="s">
        <v>148</v>
      </c>
      <c r="Y21" s="608">
        <f>(189789/250000)-W21</f>
        <v>-1.2408440000000001</v>
      </c>
      <c r="Z21" s="609">
        <f>94894/250000</f>
        <v>0.37957600000000002</v>
      </c>
      <c r="AA21" s="608">
        <f>(189789/200000)-W21</f>
        <v>-1.0510549999999999</v>
      </c>
      <c r="AB21" s="610">
        <f>94894/200000</f>
        <v>0.47447</v>
      </c>
      <c r="AC21" s="781" t="s">
        <v>149</v>
      </c>
      <c r="AD21" s="782" t="s">
        <v>150</v>
      </c>
      <c r="AE21" s="790">
        <f>(263509/250000)-AC21</f>
        <v>5.4035999999999973E-2</v>
      </c>
      <c r="AF21" s="791">
        <f>263509/250000</f>
        <v>1.054036</v>
      </c>
      <c r="AG21" s="790">
        <f>(263509/200000)-AC21</f>
        <v>0.31754499999999997</v>
      </c>
      <c r="AH21" s="958">
        <f>263509/200000</f>
        <v>1.317545</v>
      </c>
      <c r="AI21" s="917"/>
    </row>
    <row r="22" spans="1:35" ht="30" x14ac:dyDescent="0.25">
      <c r="A22" s="41" t="s">
        <v>140</v>
      </c>
      <c r="B22" s="42" t="s">
        <v>40</v>
      </c>
      <c r="C22" s="42" t="s">
        <v>41</v>
      </c>
      <c r="D22" s="42" t="s">
        <v>141</v>
      </c>
      <c r="E22" s="42"/>
      <c r="F22" s="43" t="s">
        <v>72</v>
      </c>
      <c r="G22" s="44" t="s">
        <v>142</v>
      </c>
      <c r="H22" s="41"/>
      <c r="I22" s="42" t="s">
        <v>151</v>
      </c>
      <c r="J22" s="211"/>
      <c r="K22" s="261" t="s">
        <v>152</v>
      </c>
      <c r="L22" s="262" t="s">
        <v>153</v>
      </c>
      <c r="M22" s="263">
        <f>(1051917/250000)-K22</f>
        <v>-3.792332</v>
      </c>
      <c r="N22" s="264">
        <f>131489/250000</f>
        <v>0.52595599999999998</v>
      </c>
      <c r="O22" s="263">
        <f>(1051917/200000)-K22</f>
        <v>-2.7404149999999996</v>
      </c>
      <c r="P22" s="265">
        <f>131489/200000</f>
        <v>0.65744499999999995</v>
      </c>
      <c r="Q22" s="431" t="s">
        <v>116</v>
      </c>
      <c r="R22" s="432" t="s">
        <v>154</v>
      </c>
      <c r="S22" s="433">
        <f>(578592/250000)-Q22</f>
        <v>-2.685632</v>
      </c>
      <c r="T22" s="434">
        <f>115718/250000</f>
        <v>0.46287200000000001</v>
      </c>
      <c r="U22" s="433">
        <f>(578592/200000)-Q22</f>
        <v>-2.10704</v>
      </c>
      <c r="V22" s="435">
        <f>115718/200000</f>
        <v>0.57859000000000005</v>
      </c>
      <c r="W22" s="611" t="s">
        <v>57</v>
      </c>
      <c r="X22" s="612" t="s">
        <v>148</v>
      </c>
      <c r="Y22" s="613">
        <f>(189789/250000)-W22</f>
        <v>-1.2408440000000001</v>
      </c>
      <c r="Z22" s="618">
        <f>94894/250000</f>
        <v>0.37957600000000002</v>
      </c>
      <c r="AA22" s="619">
        <f>(189789/200000)-W22</f>
        <v>-1.0510549999999999</v>
      </c>
      <c r="AB22" s="620">
        <f>94894/200000</f>
        <v>0.47447</v>
      </c>
      <c r="AC22" s="792" t="s">
        <v>149</v>
      </c>
      <c r="AD22" s="793" t="s">
        <v>150</v>
      </c>
      <c r="AE22" s="794">
        <f>(263509/250000)-AC22</f>
        <v>5.4035999999999973E-2</v>
      </c>
      <c r="AF22" s="797">
        <f>263509/250000</f>
        <v>1.054036</v>
      </c>
      <c r="AG22" s="798">
        <f>(263509/200000)-AC22</f>
        <v>0.31754499999999997</v>
      </c>
      <c r="AH22" s="961">
        <f>263509/200000</f>
        <v>1.317545</v>
      </c>
      <c r="AI22" s="918"/>
    </row>
    <row r="23" spans="1:35" ht="51.75" x14ac:dyDescent="0.25">
      <c r="A23" s="18" t="s">
        <v>155</v>
      </c>
      <c r="B23" s="19" t="s">
        <v>40</v>
      </c>
      <c r="C23" s="19" t="s">
        <v>41</v>
      </c>
      <c r="D23" s="19" t="s">
        <v>156</v>
      </c>
      <c r="E23" s="19" t="s">
        <v>157</v>
      </c>
      <c r="F23" s="20"/>
      <c r="G23" s="21" t="s">
        <v>158</v>
      </c>
      <c r="H23" s="22" t="s">
        <v>159</v>
      </c>
      <c r="I23" s="19" t="s">
        <v>160</v>
      </c>
      <c r="J23" s="210"/>
      <c r="K23" s="250"/>
      <c r="L23" s="251"/>
      <c r="M23" s="252"/>
      <c r="N23" s="253"/>
      <c r="O23" s="252"/>
      <c r="P23" s="254"/>
      <c r="Q23" s="418"/>
      <c r="R23" s="419"/>
      <c r="S23" s="420"/>
      <c r="T23" s="421"/>
      <c r="U23" s="420"/>
      <c r="V23" s="422"/>
      <c r="W23" s="597"/>
      <c r="X23" s="598"/>
      <c r="Y23" s="599"/>
      <c r="Z23" s="600"/>
      <c r="AA23" s="599"/>
      <c r="AB23" s="601"/>
      <c r="AC23" s="781"/>
      <c r="AD23" s="782"/>
      <c r="AE23" s="783"/>
      <c r="AF23" s="784"/>
      <c r="AG23" s="783"/>
      <c r="AH23" s="957"/>
      <c r="AI23" s="913" t="s">
        <v>161</v>
      </c>
    </row>
    <row r="24" spans="1:35" ht="26.25" x14ac:dyDescent="0.25">
      <c r="A24" s="18" t="s">
        <v>162</v>
      </c>
      <c r="B24" s="19" t="s">
        <v>40</v>
      </c>
      <c r="C24" s="19" t="s">
        <v>41</v>
      </c>
      <c r="D24" s="19" t="s">
        <v>156</v>
      </c>
      <c r="E24" s="19" t="s">
        <v>163</v>
      </c>
      <c r="F24" s="20"/>
      <c r="G24" s="21" t="s">
        <v>164</v>
      </c>
      <c r="H24" s="22" t="s">
        <v>103</v>
      </c>
      <c r="I24" s="19" t="s">
        <v>83</v>
      </c>
      <c r="J24" s="210"/>
      <c r="K24" s="250"/>
      <c r="L24" s="251"/>
      <c r="M24" s="252"/>
      <c r="N24" s="253"/>
      <c r="O24" s="252"/>
      <c r="P24" s="254"/>
      <c r="Q24" s="418"/>
      <c r="R24" s="419"/>
      <c r="S24" s="420"/>
      <c r="T24" s="421"/>
      <c r="U24" s="420"/>
      <c r="V24" s="422"/>
      <c r="W24" s="597"/>
      <c r="X24" s="598"/>
      <c r="Y24" s="599"/>
      <c r="Z24" s="600"/>
      <c r="AA24" s="599"/>
      <c r="AB24" s="601"/>
      <c r="AC24" s="781"/>
      <c r="AD24" s="782"/>
      <c r="AE24" s="783"/>
      <c r="AF24" s="784"/>
      <c r="AG24" s="783"/>
      <c r="AH24" s="957"/>
      <c r="AI24" s="913" t="s">
        <v>165</v>
      </c>
    </row>
    <row r="25" spans="1:35" ht="39" x14ac:dyDescent="0.25">
      <c r="A25" s="18" t="s">
        <v>166</v>
      </c>
      <c r="B25" s="19" t="s">
        <v>40</v>
      </c>
      <c r="C25" s="19" t="s">
        <v>41</v>
      </c>
      <c r="D25" s="19" t="s">
        <v>156</v>
      </c>
      <c r="E25" s="19" t="s">
        <v>167</v>
      </c>
      <c r="F25" s="20"/>
      <c r="G25" s="21" t="s">
        <v>168</v>
      </c>
      <c r="H25" s="22" t="s">
        <v>169</v>
      </c>
      <c r="I25" s="19" t="s">
        <v>73</v>
      </c>
      <c r="J25" s="210"/>
      <c r="K25" s="250"/>
      <c r="L25" s="251"/>
      <c r="M25" s="252"/>
      <c r="N25" s="253"/>
      <c r="O25" s="252"/>
      <c r="P25" s="254"/>
      <c r="Q25" s="418"/>
      <c r="R25" s="419"/>
      <c r="S25" s="420"/>
      <c r="T25" s="421"/>
      <c r="U25" s="420"/>
      <c r="V25" s="422"/>
      <c r="W25" s="597"/>
      <c r="X25" s="598"/>
      <c r="Y25" s="599"/>
      <c r="Z25" s="600"/>
      <c r="AA25" s="599"/>
      <c r="AB25" s="601"/>
      <c r="AC25" s="781"/>
      <c r="AD25" s="782"/>
      <c r="AE25" s="783"/>
      <c r="AF25" s="784"/>
      <c r="AG25" s="783"/>
      <c r="AH25" s="957"/>
      <c r="AI25" s="913" t="s">
        <v>170</v>
      </c>
    </row>
    <row r="26" spans="1:35" ht="26.25" x14ac:dyDescent="0.25">
      <c r="A26" s="18" t="s">
        <v>171</v>
      </c>
      <c r="B26" s="19" t="s">
        <v>40</v>
      </c>
      <c r="C26" s="19" t="s">
        <v>41</v>
      </c>
      <c r="D26" s="19" t="s">
        <v>156</v>
      </c>
      <c r="E26" s="19" t="s">
        <v>172</v>
      </c>
      <c r="F26" s="20"/>
      <c r="G26" s="21" t="s">
        <v>173</v>
      </c>
      <c r="H26" s="22" t="s">
        <v>174</v>
      </c>
      <c r="I26" s="19" t="s">
        <v>160</v>
      </c>
      <c r="J26" s="210"/>
      <c r="K26" s="250"/>
      <c r="L26" s="251"/>
      <c r="M26" s="252"/>
      <c r="N26" s="253"/>
      <c r="O26" s="252"/>
      <c r="P26" s="254"/>
      <c r="Q26" s="418"/>
      <c r="R26" s="419"/>
      <c r="S26" s="420"/>
      <c r="T26" s="421"/>
      <c r="U26" s="420"/>
      <c r="V26" s="422"/>
      <c r="W26" s="597"/>
      <c r="X26" s="598"/>
      <c r="Y26" s="599"/>
      <c r="Z26" s="600"/>
      <c r="AA26" s="599"/>
      <c r="AB26" s="601"/>
      <c r="AC26" s="781"/>
      <c r="AD26" s="782"/>
      <c r="AE26" s="783"/>
      <c r="AF26" s="784"/>
      <c r="AG26" s="783"/>
      <c r="AH26" s="957"/>
      <c r="AI26" s="913" t="s">
        <v>175</v>
      </c>
    </row>
    <row r="27" spans="1:35" ht="26.25" x14ac:dyDescent="0.25">
      <c r="A27" s="18" t="s">
        <v>176</v>
      </c>
      <c r="B27" s="19" t="s">
        <v>40</v>
      </c>
      <c r="C27" s="19" t="s">
        <v>41</v>
      </c>
      <c r="D27" s="19" t="s">
        <v>156</v>
      </c>
      <c r="E27" s="19" t="s">
        <v>177</v>
      </c>
      <c r="F27" s="20"/>
      <c r="G27" s="21" t="s">
        <v>178</v>
      </c>
      <c r="H27" s="22" t="s">
        <v>103</v>
      </c>
      <c r="I27" s="19" t="s">
        <v>73</v>
      </c>
      <c r="J27" s="210"/>
      <c r="K27" s="250"/>
      <c r="L27" s="251"/>
      <c r="M27" s="252"/>
      <c r="N27" s="253"/>
      <c r="O27" s="252"/>
      <c r="P27" s="254"/>
      <c r="Q27" s="418"/>
      <c r="R27" s="419"/>
      <c r="S27" s="420"/>
      <c r="T27" s="421"/>
      <c r="U27" s="420"/>
      <c r="V27" s="422"/>
      <c r="W27" s="597"/>
      <c r="X27" s="598"/>
      <c r="Y27" s="599"/>
      <c r="Z27" s="600"/>
      <c r="AA27" s="599"/>
      <c r="AB27" s="601"/>
      <c r="AC27" s="781"/>
      <c r="AD27" s="782"/>
      <c r="AE27" s="783"/>
      <c r="AF27" s="784"/>
      <c r="AG27" s="783"/>
      <c r="AH27" s="957"/>
      <c r="AI27" s="913" t="s">
        <v>179</v>
      </c>
    </row>
    <row r="28" spans="1:35" ht="26.25" x14ac:dyDescent="0.25">
      <c r="A28" s="23" t="s">
        <v>180</v>
      </c>
      <c r="B28" s="24" t="s">
        <v>40</v>
      </c>
      <c r="C28" s="24" t="s">
        <v>41</v>
      </c>
      <c r="D28" s="24" t="s">
        <v>156</v>
      </c>
      <c r="E28" s="24"/>
      <c r="F28" s="25" t="s">
        <v>55</v>
      </c>
      <c r="G28" s="26" t="s">
        <v>181</v>
      </c>
      <c r="H28" s="23"/>
      <c r="I28" s="24"/>
      <c r="J28" s="210"/>
      <c r="K28" s="250" t="s">
        <v>182</v>
      </c>
      <c r="L28" s="251" t="s">
        <v>183</v>
      </c>
      <c r="M28" s="255">
        <f>(1051917/30000)-K28</f>
        <v>28.063899999999997</v>
      </c>
      <c r="N28" s="256">
        <f>150273/30000</f>
        <v>5.0091000000000001</v>
      </c>
      <c r="O28" s="255">
        <f>(1051917/20000)-K28</f>
        <v>45.595849999999999</v>
      </c>
      <c r="P28" s="257">
        <f>150273/20000</f>
        <v>7.5136500000000002</v>
      </c>
      <c r="Q28" s="418" t="s">
        <v>68</v>
      </c>
      <c r="R28" s="419" t="s">
        <v>184</v>
      </c>
      <c r="S28" s="425">
        <f>(578592/30000)-Q28</f>
        <v>15.2864</v>
      </c>
      <c r="T28" s="426">
        <f>144648/30000</f>
        <v>4.8216000000000001</v>
      </c>
      <c r="U28" s="425">
        <f>(578592/20000)-Q28</f>
        <v>24.929600000000001</v>
      </c>
      <c r="V28" s="427">
        <f>144648/20000</f>
        <v>7.2324000000000002</v>
      </c>
      <c r="W28" s="597" t="s">
        <v>70</v>
      </c>
      <c r="X28" s="598" t="s">
        <v>185</v>
      </c>
      <c r="Y28" s="604">
        <f>(189789/30000)-W28</f>
        <v>3.3262999999999998</v>
      </c>
      <c r="Z28" s="605">
        <f>63263/30000</f>
        <v>2.1087666666666665</v>
      </c>
      <c r="AA28" s="604">
        <f>(189789/20000)-W28</f>
        <v>6.4894499999999997</v>
      </c>
      <c r="AB28" s="606">
        <f>63263/20000</f>
        <v>3.1631499999999999</v>
      </c>
      <c r="AC28" s="796" t="s">
        <v>60</v>
      </c>
      <c r="AD28" s="782" t="s">
        <v>61</v>
      </c>
      <c r="AE28" s="787">
        <f>(263509/30000)-AC28</f>
        <v>8.7836333333333325</v>
      </c>
      <c r="AF28" s="788" t="s">
        <v>61</v>
      </c>
      <c r="AG28" s="787">
        <f>(263509/20000)-AC28</f>
        <v>13.17545</v>
      </c>
      <c r="AH28" s="889" t="s">
        <v>61</v>
      </c>
      <c r="AI28" s="914" t="s">
        <v>161</v>
      </c>
    </row>
    <row r="29" spans="1:35" ht="26.25" x14ac:dyDescent="0.25">
      <c r="A29" s="23" t="s">
        <v>180</v>
      </c>
      <c r="B29" s="24" t="s">
        <v>40</v>
      </c>
      <c r="C29" s="24" t="s">
        <v>41</v>
      </c>
      <c r="D29" s="24" t="s">
        <v>156</v>
      </c>
      <c r="E29" s="24"/>
      <c r="F29" s="25" t="s">
        <v>63</v>
      </c>
      <c r="G29" s="26" t="s">
        <v>181</v>
      </c>
      <c r="H29" s="23"/>
      <c r="I29" s="24"/>
      <c r="J29" s="210"/>
      <c r="K29" s="250" t="s">
        <v>186</v>
      </c>
      <c r="L29" s="251" t="s">
        <v>187</v>
      </c>
      <c r="M29" s="258">
        <f>(1051917/30000)-K29</f>
        <v>-12.936100000000003</v>
      </c>
      <c r="N29" s="259">
        <f>21914/30000</f>
        <v>0.73046666666666671</v>
      </c>
      <c r="O29" s="258">
        <f>(1051917/20000)-K29</f>
        <v>4.5958499999999987</v>
      </c>
      <c r="P29" s="260">
        <f>21914/20000</f>
        <v>1.0956999999999999</v>
      </c>
      <c r="Q29" s="418" t="s">
        <v>188</v>
      </c>
      <c r="R29" s="419" t="s">
        <v>189</v>
      </c>
      <c r="S29" s="428">
        <f>(578592/30000)-Q29</f>
        <v>-17.7136</v>
      </c>
      <c r="T29" s="429">
        <f>15647/30000</f>
        <v>0.52156666666666662</v>
      </c>
      <c r="U29" s="428">
        <f>(578592/20000)-Q29</f>
        <v>-8.0703999999999994</v>
      </c>
      <c r="V29" s="430">
        <f>15647/20000</f>
        <v>0.78234999999999999</v>
      </c>
      <c r="W29" s="597" t="s">
        <v>70</v>
      </c>
      <c r="X29" s="598" t="s">
        <v>185</v>
      </c>
      <c r="Y29" s="604">
        <f>(189789/30000)-W29</f>
        <v>3.3262999999999998</v>
      </c>
      <c r="Z29" s="605">
        <f>63263/30000</f>
        <v>2.1087666666666665</v>
      </c>
      <c r="AA29" s="604">
        <f>(189789/20000)-W29</f>
        <v>6.4894499999999997</v>
      </c>
      <c r="AB29" s="606">
        <f>63263/20000</f>
        <v>3.1631499999999999</v>
      </c>
      <c r="AC29" s="781" t="s">
        <v>152</v>
      </c>
      <c r="AD29" s="782" t="s">
        <v>190</v>
      </c>
      <c r="AE29" s="787">
        <f>(263509/30000)-AC29</f>
        <v>0.78363333333333252</v>
      </c>
      <c r="AF29" s="788">
        <f>32938/30000</f>
        <v>1.0979333333333334</v>
      </c>
      <c r="AG29" s="787">
        <f>(263509/20000)-AC29</f>
        <v>5.1754499999999997</v>
      </c>
      <c r="AH29" s="889">
        <f>32938/20000</f>
        <v>1.6469</v>
      </c>
      <c r="AI29" s="914"/>
    </row>
    <row r="30" spans="1:35" ht="30" x14ac:dyDescent="0.25">
      <c r="A30" s="27" t="s">
        <v>180</v>
      </c>
      <c r="B30" s="28" t="s">
        <v>40</v>
      </c>
      <c r="C30" s="28" t="s">
        <v>41</v>
      </c>
      <c r="D30" s="28" t="s">
        <v>156</v>
      </c>
      <c r="E30" s="28"/>
      <c r="F30" s="29" t="s">
        <v>72</v>
      </c>
      <c r="G30" s="30" t="s">
        <v>181</v>
      </c>
      <c r="H30" s="27"/>
      <c r="I30" s="28" t="s">
        <v>191</v>
      </c>
      <c r="J30" s="211"/>
      <c r="K30" s="261" t="s">
        <v>192</v>
      </c>
      <c r="L30" s="262" t="s">
        <v>193</v>
      </c>
      <c r="M30" s="263">
        <f>(1051917/30000)-K30</f>
        <v>-19.936100000000003</v>
      </c>
      <c r="N30" s="264">
        <f>19125/30000</f>
        <v>0.63749999999999996</v>
      </c>
      <c r="O30" s="263">
        <f>(1051917/20000)-K30</f>
        <v>-2.4041500000000013</v>
      </c>
      <c r="P30" s="265">
        <f>19125/20000</f>
        <v>0.95625000000000004</v>
      </c>
      <c r="Q30" s="431" t="s">
        <v>194</v>
      </c>
      <c r="R30" s="432" t="s">
        <v>195</v>
      </c>
      <c r="S30" s="433">
        <f>(578592/30000)-Q30</f>
        <v>-21.7136</v>
      </c>
      <c r="T30" s="434">
        <f>14112/30000</f>
        <v>0.47039999999999998</v>
      </c>
      <c r="U30" s="433">
        <f>(578592/20000)-Q30</f>
        <v>-12.070399999999999</v>
      </c>
      <c r="V30" s="435">
        <f>14112/20000</f>
        <v>0.7056</v>
      </c>
      <c r="W30" s="611" t="s">
        <v>145</v>
      </c>
      <c r="X30" s="612" t="s">
        <v>196</v>
      </c>
      <c r="Y30" s="621">
        <f>(189789/30000)-W30</f>
        <v>0.32629999999999981</v>
      </c>
      <c r="Z30" s="622">
        <f>31631/30000</f>
        <v>1.0543666666666667</v>
      </c>
      <c r="AA30" s="621">
        <f>(189789/20000)-W30</f>
        <v>3.4894499999999997</v>
      </c>
      <c r="AB30" s="623">
        <f>31631/20000</f>
        <v>1.58155</v>
      </c>
      <c r="AC30" s="792" t="s">
        <v>152</v>
      </c>
      <c r="AD30" s="793" t="s">
        <v>190</v>
      </c>
      <c r="AE30" s="799">
        <f>(263509/30000)-AC30</f>
        <v>0.78363333333333252</v>
      </c>
      <c r="AF30" s="800">
        <f>32938/30000</f>
        <v>1.0979333333333334</v>
      </c>
      <c r="AG30" s="801">
        <f>(263509/20000)-AC30</f>
        <v>5.1754499999999997</v>
      </c>
      <c r="AH30" s="962">
        <f>32938/20000</f>
        <v>1.6469</v>
      </c>
      <c r="AI30" s="915"/>
    </row>
    <row r="31" spans="1:35" ht="26.25" x14ac:dyDescent="0.25">
      <c r="A31" s="32" t="s">
        <v>197</v>
      </c>
      <c r="B31" s="33" t="s">
        <v>40</v>
      </c>
      <c r="C31" s="33" t="s">
        <v>41</v>
      </c>
      <c r="D31" s="33" t="s">
        <v>198</v>
      </c>
      <c r="E31" s="33"/>
      <c r="F31" s="34"/>
      <c r="G31" s="35" t="s">
        <v>199</v>
      </c>
      <c r="H31" s="32"/>
      <c r="I31" s="33" t="s">
        <v>200</v>
      </c>
      <c r="J31" s="210"/>
      <c r="K31" s="250"/>
      <c r="L31" s="251"/>
      <c r="M31" s="252"/>
      <c r="N31" s="253"/>
      <c r="O31" s="252"/>
      <c r="P31" s="254"/>
      <c r="Q31" s="418"/>
      <c r="R31" s="419"/>
      <c r="S31" s="420"/>
      <c r="T31" s="421"/>
      <c r="U31" s="420"/>
      <c r="V31" s="422"/>
      <c r="W31" s="597"/>
      <c r="X31" s="598"/>
      <c r="Y31" s="599"/>
      <c r="Z31" s="600"/>
      <c r="AA31" s="599"/>
      <c r="AB31" s="601"/>
      <c r="AC31" s="781"/>
      <c r="AD31" s="782"/>
      <c r="AE31" s="783"/>
      <c r="AF31" s="784"/>
      <c r="AG31" s="783"/>
      <c r="AH31" s="957"/>
      <c r="AI31" s="916" t="s">
        <v>201</v>
      </c>
    </row>
    <row r="32" spans="1:35" ht="39" x14ac:dyDescent="0.25">
      <c r="A32" s="18" t="s">
        <v>202</v>
      </c>
      <c r="B32" s="19" t="s">
        <v>40</v>
      </c>
      <c r="C32" s="19" t="s">
        <v>41</v>
      </c>
      <c r="D32" s="19" t="s">
        <v>203</v>
      </c>
      <c r="E32" s="19" t="s">
        <v>204</v>
      </c>
      <c r="F32" s="20"/>
      <c r="G32" s="21" t="s">
        <v>205</v>
      </c>
      <c r="H32" s="22" t="s">
        <v>206</v>
      </c>
      <c r="I32" s="19" t="s">
        <v>109</v>
      </c>
      <c r="J32" s="210"/>
      <c r="K32" s="250"/>
      <c r="L32" s="251"/>
      <c r="M32" s="252"/>
      <c r="N32" s="253"/>
      <c r="O32" s="252"/>
      <c r="P32" s="254"/>
      <c r="Q32" s="418"/>
      <c r="R32" s="419"/>
      <c r="S32" s="420"/>
      <c r="T32" s="421"/>
      <c r="U32" s="420"/>
      <c r="V32" s="422"/>
      <c r="W32" s="597"/>
      <c r="X32" s="598"/>
      <c r="Y32" s="599"/>
      <c r="Z32" s="600"/>
      <c r="AA32" s="599"/>
      <c r="AB32" s="601"/>
      <c r="AC32" s="781"/>
      <c r="AD32" s="782"/>
      <c r="AE32" s="783"/>
      <c r="AF32" s="784"/>
      <c r="AG32" s="783"/>
      <c r="AH32" s="957"/>
      <c r="AI32" s="913" t="s">
        <v>207</v>
      </c>
    </row>
    <row r="33" spans="1:35" ht="39" x14ac:dyDescent="0.25">
      <c r="A33" s="18" t="s">
        <v>208</v>
      </c>
      <c r="B33" s="19" t="s">
        <v>40</v>
      </c>
      <c r="C33" s="19" t="s">
        <v>41</v>
      </c>
      <c r="D33" s="19" t="s">
        <v>203</v>
      </c>
      <c r="E33" s="19" t="s">
        <v>92</v>
      </c>
      <c r="F33" s="20"/>
      <c r="G33" s="21" t="s">
        <v>209</v>
      </c>
      <c r="H33" s="22" t="s">
        <v>206</v>
      </c>
      <c r="I33" s="19" t="s">
        <v>109</v>
      </c>
      <c r="J33" s="210"/>
      <c r="K33" s="250"/>
      <c r="L33" s="251"/>
      <c r="M33" s="252"/>
      <c r="N33" s="253"/>
      <c r="O33" s="252"/>
      <c r="P33" s="254"/>
      <c r="Q33" s="418"/>
      <c r="R33" s="419"/>
      <c r="S33" s="420"/>
      <c r="T33" s="421"/>
      <c r="U33" s="420"/>
      <c r="V33" s="422"/>
      <c r="W33" s="597"/>
      <c r="X33" s="598"/>
      <c r="Y33" s="599"/>
      <c r="Z33" s="600"/>
      <c r="AA33" s="599"/>
      <c r="AB33" s="601"/>
      <c r="AC33" s="781"/>
      <c r="AD33" s="782"/>
      <c r="AE33" s="783"/>
      <c r="AF33" s="784"/>
      <c r="AG33" s="783"/>
      <c r="AH33" s="957"/>
      <c r="AI33" s="913" t="s">
        <v>95</v>
      </c>
    </row>
    <row r="34" spans="1:35" ht="39" x14ac:dyDescent="0.25">
      <c r="A34" s="18" t="s">
        <v>210</v>
      </c>
      <c r="B34" s="19" t="s">
        <v>40</v>
      </c>
      <c r="C34" s="19" t="s">
        <v>41</v>
      </c>
      <c r="D34" s="19" t="s">
        <v>203</v>
      </c>
      <c r="E34" s="19" t="s">
        <v>211</v>
      </c>
      <c r="F34" s="20"/>
      <c r="G34" s="21" t="s">
        <v>212</v>
      </c>
      <c r="H34" s="22" t="s">
        <v>103</v>
      </c>
      <c r="I34" s="19" t="s">
        <v>213</v>
      </c>
      <c r="J34" s="210"/>
      <c r="K34" s="250"/>
      <c r="L34" s="251"/>
      <c r="M34" s="252"/>
      <c r="N34" s="253"/>
      <c r="O34" s="252"/>
      <c r="P34" s="254"/>
      <c r="Q34" s="418"/>
      <c r="R34" s="419"/>
      <c r="S34" s="420"/>
      <c r="T34" s="421"/>
      <c r="U34" s="420"/>
      <c r="V34" s="422"/>
      <c r="W34" s="597"/>
      <c r="X34" s="598"/>
      <c r="Y34" s="599"/>
      <c r="Z34" s="600"/>
      <c r="AA34" s="599"/>
      <c r="AB34" s="601"/>
      <c r="AC34" s="781"/>
      <c r="AD34" s="782"/>
      <c r="AE34" s="783"/>
      <c r="AF34" s="784"/>
      <c r="AG34" s="783"/>
      <c r="AH34" s="957"/>
      <c r="AI34" s="913" t="s">
        <v>214</v>
      </c>
    </row>
    <row r="35" spans="1:35" ht="39" x14ac:dyDescent="0.25">
      <c r="A35" s="18" t="s">
        <v>215</v>
      </c>
      <c r="B35" s="19" t="s">
        <v>40</v>
      </c>
      <c r="C35" s="19" t="s">
        <v>41</v>
      </c>
      <c r="D35" s="19" t="s">
        <v>203</v>
      </c>
      <c r="E35" s="19" t="s">
        <v>216</v>
      </c>
      <c r="F35" s="20"/>
      <c r="G35" s="21" t="s">
        <v>217</v>
      </c>
      <c r="H35" s="22" t="s">
        <v>103</v>
      </c>
      <c r="I35" s="19" t="s">
        <v>83</v>
      </c>
      <c r="J35" s="210"/>
      <c r="K35" s="250"/>
      <c r="L35" s="251"/>
      <c r="M35" s="252"/>
      <c r="N35" s="253"/>
      <c r="O35" s="252"/>
      <c r="P35" s="254"/>
      <c r="Q35" s="418"/>
      <c r="R35" s="419"/>
      <c r="S35" s="420"/>
      <c r="T35" s="421"/>
      <c r="U35" s="420"/>
      <c r="V35" s="422"/>
      <c r="W35" s="597"/>
      <c r="X35" s="598"/>
      <c r="Y35" s="599"/>
      <c r="Z35" s="600"/>
      <c r="AA35" s="599"/>
      <c r="AB35" s="601"/>
      <c r="AC35" s="781"/>
      <c r="AD35" s="782"/>
      <c r="AE35" s="783"/>
      <c r="AF35" s="784"/>
      <c r="AG35" s="783"/>
      <c r="AH35" s="957"/>
      <c r="AI35" s="913" t="s">
        <v>218</v>
      </c>
    </row>
    <row r="36" spans="1:35" ht="39" x14ac:dyDescent="0.25">
      <c r="A36" s="18" t="s">
        <v>219</v>
      </c>
      <c r="B36" s="19" t="s">
        <v>40</v>
      </c>
      <c r="C36" s="19" t="s">
        <v>41</v>
      </c>
      <c r="D36" s="19" t="s">
        <v>203</v>
      </c>
      <c r="E36" s="19" t="s">
        <v>220</v>
      </c>
      <c r="F36" s="20"/>
      <c r="G36" s="21" t="s">
        <v>221</v>
      </c>
      <c r="H36" s="22" t="s">
        <v>169</v>
      </c>
      <c r="I36" s="19" t="s">
        <v>160</v>
      </c>
      <c r="J36" s="210"/>
      <c r="K36" s="250"/>
      <c r="L36" s="251"/>
      <c r="M36" s="252"/>
      <c r="N36" s="253"/>
      <c r="O36" s="252"/>
      <c r="P36" s="254"/>
      <c r="Q36" s="418"/>
      <c r="R36" s="419"/>
      <c r="S36" s="420"/>
      <c r="T36" s="421"/>
      <c r="U36" s="420"/>
      <c r="V36" s="422"/>
      <c r="W36" s="597"/>
      <c r="X36" s="598"/>
      <c r="Y36" s="599"/>
      <c r="Z36" s="600"/>
      <c r="AA36" s="599"/>
      <c r="AB36" s="601"/>
      <c r="AC36" s="781"/>
      <c r="AD36" s="782"/>
      <c r="AE36" s="783"/>
      <c r="AF36" s="784"/>
      <c r="AG36" s="783"/>
      <c r="AH36" s="957"/>
      <c r="AI36" s="913" t="s">
        <v>214</v>
      </c>
    </row>
    <row r="37" spans="1:35" ht="51.75" x14ac:dyDescent="0.25">
      <c r="A37" s="18" t="s">
        <v>222</v>
      </c>
      <c r="B37" s="19" t="s">
        <v>40</v>
      </c>
      <c r="C37" s="19" t="s">
        <v>41</v>
      </c>
      <c r="D37" s="19" t="s">
        <v>203</v>
      </c>
      <c r="E37" s="19" t="s">
        <v>223</v>
      </c>
      <c r="F37" s="20"/>
      <c r="G37" s="21" t="s">
        <v>224</v>
      </c>
      <c r="H37" s="22" t="s">
        <v>225</v>
      </c>
      <c r="I37" s="19" t="s">
        <v>109</v>
      </c>
      <c r="J37" s="210"/>
      <c r="K37" s="250"/>
      <c r="L37" s="251"/>
      <c r="M37" s="252"/>
      <c r="N37" s="253"/>
      <c r="O37" s="252"/>
      <c r="P37" s="254"/>
      <c r="Q37" s="418"/>
      <c r="R37" s="419"/>
      <c r="S37" s="420"/>
      <c r="T37" s="421"/>
      <c r="U37" s="420"/>
      <c r="V37" s="422"/>
      <c r="W37" s="597"/>
      <c r="X37" s="598"/>
      <c r="Y37" s="599"/>
      <c r="Z37" s="600"/>
      <c r="AA37" s="599"/>
      <c r="AB37" s="601"/>
      <c r="AC37" s="781"/>
      <c r="AD37" s="782"/>
      <c r="AE37" s="783"/>
      <c r="AF37" s="784"/>
      <c r="AG37" s="783"/>
      <c r="AH37" s="957"/>
      <c r="AI37" s="913" t="s">
        <v>226</v>
      </c>
    </row>
    <row r="38" spans="1:35" ht="26.25" x14ac:dyDescent="0.25">
      <c r="A38" s="23" t="s">
        <v>227</v>
      </c>
      <c r="B38" s="24" t="s">
        <v>40</v>
      </c>
      <c r="C38" s="24" t="s">
        <v>41</v>
      </c>
      <c r="D38" s="24" t="s">
        <v>203</v>
      </c>
      <c r="E38" s="24"/>
      <c r="F38" s="25" t="s">
        <v>55</v>
      </c>
      <c r="G38" s="26" t="s">
        <v>228</v>
      </c>
      <c r="H38" s="23"/>
      <c r="I38" s="24"/>
      <c r="J38" s="210"/>
      <c r="K38" s="250" t="s">
        <v>229</v>
      </c>
      <c r="L38" s="251" t="s">
        <v>230</v>
      </c>
      <c r="M38" s="255">
        <f>(1051917/8250)-K38</f>
        <v>74.50509090909091</v>
      </c>
      <c r="N38" s="256">
        <f>19847/8250</f>
        <v>2.4056969696969697</v>
      </c>
      <c r="O38" s="255">
        <f>(1051917/7300)-K38</f>
        <v>91.098219178082189</v>
      </c>
      <c r="P38" s="257">
        <f>19847/7300</f>
        <v>2.7187671232876713</v>
      </c>
      <c r="Q38" s="418" t="s">
        <v>231</v>
      </c>
      <c r="R38" s="419" t="s">
        <v>232</v>
      </c>
      <c r="S38" s="425">
        <f>(578592/8250)-Q38</f>
        <v>44.132363636363635</v>
      </c>
      <c r="T38" s="426">
        <f>22253/8250</f>
        <v>2.6973333333333334</v>
      </c>
      <c r="U38" s="425">
        <f>(578592/7300)-Q38</f>
        <v>53.259178082191781</v>
      </c>
      <c r="V38" s="427">
        <f>22253/7300</f>
        <v>3.0483561643835615</v>
      </c>
      <c r="W38" s="597" t="s">
        <v>66</v>
      </c>
      <c r="X38" s="598" t="s">
        <v>233</v>
      </c>
      <c r="Y38" s="604">
        <f>(189789/8250)-W38</f>
        <v>12.004727272727273</v>
      </c>
      <c r="Z38" s="605">
        <f>17253/8250</f>
        <v>2.0912727272727274</v>
      </c>
      <c r="AA38" s="604">
        <f>(189789/7300)-W38</f>
        <v>14.998493150684933</v>
      </c>
      <c r="AB38" s="606">
        <f>17253/7300</f>
        <v>2.3634246575342464</v>
      </c>
      <c r="AC38" s="781" t="s">
        <v>234</v>
      </c>
      <c r="AD38" s="782" t="s">
        <v>235</v>
      </c>
      <c r="AE38" s="787">
        <f>(263509/8250)-AC38</f>
        <v>15.94048484848485</v>
      </c>
      <c r="AF38" s="788">
        <f>16469/8250</f>
        <v>1.9962424242424242</v>
      </c>
      <c r="AG38" s="787">
        <f>(263509/7300)-AC38</f>
        <v>20.097123287671231</v>
      </c>
      <c r="AH38" s="889">
        <f>16469/7300</f>
        <v>2.256027397260274</v>
      </c>
      <c r="AI38" s="914" t="s">
        <v>236</v>
      </c>
    </row>
    <row r="39" spans="1:35" ht="26.25" x14ac:dyDescent="0.25">
      <c r="A39" s="23" t="s">
        <v>227</v>
      </c>
      <c r="B39" s="24" t="s">
        <v>40</v>
      </c>
      <c r="C39" s="24" t="s">
        <v>41</v>
      </c>
      <c r="D39" s="24" t="s">
        <v>203</v>
      </c>
      <c r="E39" s="24"/>
      <c r="F39" s="25" t="s">
        <v>63</v>
      </c>
      <c r="G39" s="26" t="s">
        <v>228</v>
      </c>
      <c r="H39" s="23"/>
      <c r="I39" s="24"/>
      <c r="J39" s="210"/>
      <c r="K39" s="250" t="s">
        <v>237</v>
      </c>
      <c r="L39" s="251" t="s">
        <v>238</v>
      </c>
      <c r="M39" s="258">
        <f>(1051917/8250)-K39</f>
        <v>-87.49490909090909</v>
      </c>
      <c r="N39" s="259">
        <f>4892/8250</f>
        <v>0.59296969696969692</v>
      </c>
      <c r="O39" s="258">
        <f>(1051917/7300)-K39</f>
        <v>-70.901780821917811</v>
      </c>
      <c r="P39" s="260">
        <f>4892/7300</f>
        <v>0.67013698630136986</v>
      </c>
      <c r="Q39" s="418" t="s">
        <v>239</v>
      </c>
      <c r="R39" s="419" t="s">
        <v>240</v>
      </c>
      <c r="S39" s="428">
        <f>(578592/8250)-Q39</f>
        <v>-87.867636363636365</v>
      </c>
      <c r="T39" s="429">
        <f>3664/8250</f>
        <v>0.44412121212121214</v>
      </c>
      <c r="U39" s="428">
        <f>(578592/7300)-Q39</f>
        <v>-78.740821917808219</v>
      </c>
      <c r="V39" s="430">
        <f>3664/7300</f>
        <v>0.50191780821917809</v>
      </c>
      <c r="W39" s="597" t="s">
        <v>241</v>
      </c>
      <c r="X39" s="598" t="s">
        <v>242</v>
      </c>
      <c r="Y39" s="624">
        <f>(189789/8250)-W39</f>
        <v>-1.9952727272727273</v>
      </c>
      <c r="Z39" s="625">
        <f>7591/8250</f>
        <v>0.92012121212121212</v>
      </c>
      <c r="AA39" s="624">
        <f>(189789/7300)-W39</f>
        <v>0.99849315068493283</v>
      </c>
      <c r="AB39" s="626">
        <f>7591/7300</f>
        <v>1.0398630136986302</v>
      </c>
      <c r="AC39" s="781" t="s">
        <v>112</v>
      </c>
      <c r="AD39" s="782" t="s">
        <v>243</v>
      </c>
      <c r="AE39" s="802">
        <f>(263509/8250)-AC39</f>
        <v>-5.9515151515149967E-2</v>
      </c>
      <c r="AF39" s="803">
        <f>8234/8250</f>
        <v>0.99806060606060609</v>
      </c>
      <c r="AG39" s="802">
        <f>(263509/7300)-AC39</f>
        <v>4.0971232876712307</v>
      </c>
      <c r="AH39" s="963">
        <f>8234/7300</f>
        <v>1.1279452054794521</v>
      </c>
      <c r="AI39" s="914"/>
    </row>
    <row r="40" spans="1:35" ht="30" x14ac:dyDescent="0.25">
      <c r="A40" s="27" t="s">
        <v>227</v>
      </c>
      <c r="B40" s="28" t="s">
        <v>40</v>
      </c>
      <c r="C40" s="28" t="s">
        <v>41</v>
      </c>
      <c r="D40" s="28" t="s">
        <v>203</v>
      </c>
      <c r="E40" s="28"/>
      <c r="F40" s="29" t="s">
        <v>72</v>
      </c>
      <c r="G40" s="30" t="s">
        <v>228</v>
      </c>
      <c r="H40" s="27"/>
      <c r="I40" s="28" t="s">
        <v>244</v>
      </c>
      <c r="J40" s="211"/>
      <c r="K40" s="261" t="s">
        <v>245</v>
      </c>
      <c r="L40" s="262" t="s">
        <v>246</v>
      </c>
      <c r="M40" s="263">
        <f>(1051917/8250)-K40</f>
        <v>-140.49490909090909</v>
      </c>
      <c r="N40" s="264">
        <f>3925/8250</f>
        <v>0.47575757575757577</v>
      </c>
      <c r="O40" s="263">
        <f>(1051917/7300)-K40</f>
        <v>-123.90178082191781</v>
      </c>
      <c r="P40" s="265">
        <f>3925/7300</f>
        <v>0.53767123287671237</v>
      </c>
      <c r="Q40" s="431" t="s">
        <v>247</v>
      </c>
      <c r="R40" s="432" t="s">
        <v>248</v>
      </c>
      <c r="S40" s="433">
        <f>(578592/8250)-Q40</f>
        <v>-113.86763636363636</v>
      </c>
      <c r="T40" s="434">
        <f>3144/3925</f>
        <v>0.8010191082802548</v>
      </c>
      <c r="U40" s="433">
        <f>(578592/7300)-Q40</f>
        <v>-104.74082191780822</v>
      </c>
      <c r="V40" s="435">
        <f>3144/7300</f>
        <v>0.43068493150684933</v>
      </c>
      <c r="W40" s="611" t="s">
        <v>249</v>
      </c>
      <c r="X40" s="612" t="s">
        <v>250</v>
      </c>
      <c r="Y40" s="613">
        <f>(189789/8250)-W40</f>
        <v>-12.995272727272727</v>
      </c>
      <c r="Z40" s="614">
        <f>5271/8250</f>
        <v>0.63890909090909087</v>
      </c>
      <c r="AA40" s="613">
        <f>(189789/7300)-W40</f>
        <v>-10.001506849315067</v>
      </c>
      <c r="AB40" s="615">
        <f>5271/7300</f>
        <v>0.72205479452054799</v>
      </c>
      <c r="AC40" s="792" t="s">
        <v>186</v>
      </c>
      <c r="AD40" s="793" t="s">
        <v>251</v>
      </c>
      <c r="AE40" s="794">
        <f>(263509/8250)-AC40</f>
        <v>-16.05951515151515</v>
      </c>
      <c r="AF40" s="795">
        <f>5489/8250</f>
        <v>0.66533333333333333</v>
      </c>
      <c r="AG40" s="794">
        <f>(263509/7300)-AC40</f>
        <v>-11.902876712328769</v>
      </c>
      <c r="AH40" s="959">
        <f>5489/7300</f>
        <v>0.75191780821917809</v>
      </c>
      <c r="AI40" s="915"/>
    </row>
    <row r="41" spans="1:35" ht="39" x14ac:dyDescent="0.25">
      <c r="A41" s="18" t="s">
        <v>252</v>
      </c>
      <c r="B41" s="19" t="s">
        <v>40</v>
      </c>
      <c r="C41" s="19" t="s">
        <v>41</v>
      </c>
      <c r="D41" s="19" t="s">
        <v>253</v>
      </c>
      <c r="E41" s="19" t="s">
        <v>80</v>
      </c>
      <c r="F41" s="20"/>
      <c r="G41" s="21" t="s">
        <v>254</v>
      </c>
      <c r="H41" s="18"/>
      <c r="I41" s="19" t="s">
        <v>255</v>
      </c>
      <c r="J41" s="210"/>
      <c r="K41" s="250"/>
      <c r="L41" s="251"/>
      <c r="M41" s="252"/>
      <c r="N41" s="253"/>
      <c r="O41" s="252"/>
      <c r="P41" s="254"/>
      <c r="Q41" s="418"/>
      <c r="R41" s="419"/>
      <c r="S41" s="420"/>
      <c r="T41" s="421"/>
      <c r="U41" s="420"/>
      <c r="V41" s="422"/>
      <c r="W41" s="597"/>
      <c r="X41" s="598"/>
      <c r="Y41" s="599"/>
      <c r="Z41" s="600"/>
      <c r="AA41" s="599"/>
      <c r="AB41" s="601"/>
      <c r="AC41" s="781"/>
      <c r="AD41" s="782"/>
      <c r="AE41" s="783"/>
      <c r="AF41" s="784"/>
      <c r="AG41" s="783"/>
      <c r="AH41" s="957"/>
      <c r="AI41" s="913" t="s">
        <v>256</v>
      </c>
    </row>
    <row r="42" spans="1:35" ht="39" x14ac:dyDescent="0.25">
      <c r="A42" s="18" t="s">
        <v>257</v>
      </c>
      <c r="B42" s="19" t="s">
        <v>40</v>
      </c>
      <c r="C42" s="19" t="s">
        <v>41</v>
      </c>
      <c r="D42" s="19" t="s">
        <v>253</v>
      </c>
      <c r="E42" s="19" t="s">
        <v>258</v>
      </c>
      <c r="F42" s="20"/>
      <c r="G42" s="21" t="s">
        <v>259</v>
      </c>
      <c r="H42" s="18"/>
      <c r="I42" s="19" t="s">
        <v>260</v>
      </c>
      <c r="J42" s="210"/>
      <c r="K42" s="250"/>
      <c r="L42" s="251"/>
      <c r="M42" s="252"/>
      <c r="N42" s="253"/>
      <c r="O42" s="252"/>
      <c r="P42" s="254"/>
      <c r="Q42" s="418"/>
      <c r="R42" s="419"/>
      <c r="S42" s="420"/>
      <c r="T42" s="421"/>
      <c r="U42" s="420"/>
      <c r="V42" s="422"/>
      <c r="W42" s="597"/>
      <c r="X42" s="598"/>
      <c r="Y42" s="599"/>
      <c r="Z42" s="600"/>
      <c r="AA42" s="599"/>
      <c r="AB42" s="601"/>
      <c r="AC42" s="781"/>
      <c r="AD42" s="782"/>
      <c r="AE42" s="783"/>
      <c r="AF42" s="784"/>
      <c r="AG42" s="783"/>
      <c r="AH42" s="957"/>
      <c r="AI42" s="913" t="s">
        <v>261</v>
      </c>
    </row>
    <row r="43" spans="1:35" ht="26.25" x14ac:dyDescent="0.25">
      <c r="A43" s="18" t="s">
        <v>262</v>
      </c>
      <c r="B43" s="19" t="s">
        <v>40</v>
      </c>
      <c r="C43" s="19" t="s">
        <v>41</v>
      </c>
      <c r="D43" s="19" t="s">
        <v>253</v>
      </c>
      <c r="E43" s="19" t="s">
        <v>263</v>
      </c>
      <c r="F43" s="20"/>
      <c r="G43" s="21" t="s">
        <v>264</v>
      </c>
      <c r="H43" s="18"/>
      <c r="I43" s="19" t="s">
        <v>265</v>
      </c>
      <c r="J43" s="210"/>
      <c r="K43" s="250"/>
      <c r="L43" s="251"/>
      <c r="M43" s="252"/>
      <c r="N43" s="253"/>
      <c r="O43" s="252"/>
      <c r="P43" s="254"/>
      <c r="Q43" s="418"/>
      <c r="R43" s="419"/>
      <c r="S43" s="420"/>
      <c r="T43" s="421"/>
      <c r="U43" s="420"/>
      <c r="V43" s="422"/>
      <c r="W43" s="597"/>
      <c r="X43" s="598"/>
      <c r="Y43" s="599"/>
      <c r="Z43" s="600"/>
      <c r="AA43" s="599"/>
      <c r="AB43" s="601"/>
      <c r="AC43" s="781"/>
      <c r="AD43" s="782"/>
      <c r="AE43" s="783"/>
      <c r="AF43" s="784"/>
      <c r="AG43" s="783"/>
      <c r="AH43" s="957"/>
      <c r="AI43" s="913"/>
    </row>
    <row r="44" spans="1:35" ht="39" x14ac:dyDescent="0.25">
      <c r="A44" s="18" t="s">
        <v>266</v>
      </c>
      <c r="B44" s="19" t="s">
        <v>40</v>
      </c>
      <c r="C44" s="19" t="s">
        <v>41</v>
      </c>
      <c r="D44" s="19" t="s">
        <v>253</v>
      </c>
      <c r="E44" s="19" t="s">
        <v>267</v>
      </c>
      <c r="F44" s="20"/>
      <c r="G44" s="21" t="s">
        <v>268</v>
      </c>
      <c r="H44" s="18"/>
      <c r="I44" s="19" t="s">
        <v>269</v>
      </c>
      <c r="J44" s="210"/>
      <c r="K44" s="250"/>
      <c r="L44" s="251"/>
      <c r="M44" s="252"/>
      <c r="N44" s="253"/>
      <c r="O44" s="252"/>
      <c r="P44" s="254"/>
      <c r="Q44" s="418"/>
      <c r="R44" s="419"/>
      <c r="S44" s="420"/>
      <c r="T44" s="421"/>
      <c r="U44" s="420"/>
      <c r="V44" s="422"/>
      <c r="W44" s="597"/>
      <c r="X44" s="598"/>
      <c r="Y44" s="599"/>
      <c r="Z44" s="600"/>
      <c r="AA44" s="599"/>
      <c r="AB44" s="601"/>
      <c r="AC44" s="781"/>
      <c r="AD44" s="782"/>
      <c r="AE44" s="783"/>
      <c r="AF44" s="784"/>
      <c r="AG44" s="783"/>
      <c r="AH44" s="957"/>
      <c r="AI44" s="913" t="s">
        <v>270</v>
      </c>
    </row>
    <row r="45" spans="1:35" ht="39" x14ac:dyDescent="0.25">
      <c r="A45" s="18" t="s">
        <v>271</v>
      </c>
      <c r="B45" s="19" t="s">
        <v>40</v>
      </c>
      <c r="C45" s="19" t="s">
        <v>41</v>
      </c>
      <c r="D45" s="19" t="s">
        <v>253</v>
      </c>
      <c r="E45" s="19" t="s">
        <v>92</v>
      </c>
      <c r="F45" s="20"/>
      <c r="G45" s="21" t="s">
        <v>272</v>
      </c>
      <c r="H45" s="18"/>
      <c r="I45" s="19" t="s">
        <v>260</v>
      </c>
      <c r="J45" s="210"/>
      <c r="K45" s="250"/>
      <c r="L45" s="251"/>
      <c r="M45" s="252"/>
      <c r="N45" s="253"/>
      <c r="O45" s="252"/>
      <c r="P45" s="254"/>
      <c r="Q45" s="418"/>
      <c r="R45" s="419"/>
      <c r="S45" s="420"/>
      <c r="T45" s="421"/>
      <c r="U45" s="420"/>
      <c r="V45" s="422"/>
      <c r="W45" s="597"/>
      <c r="X45" s="598"/>
      <c r="Y45" s="599"/>
      <c r="Z45" s="600"/>
      <c r="AA45" s="599"/>
      <c r="AB45" s="601"/>
      <c r="AC45" s="781"/>
      <c r="AD45" s="782"/>
      <c r="AE45" s="783"/>
      <c r="AF45" s="784"/>
      <c r="AG45" s="783"/>
      <c r="AH45" s="957"/>
      <c r="AI45" s="913" t="s">
        <v>95</v>
      </c>
    </row>
    <row r="46" spans="1:35" ht="39" x14ac:dyDescent="0.25">
      <c r="A46" s="18" t="s">
        <v>273</v>
      </c>
      <c r="B46" s="19" t="s">
        <v>40</v>
      </c>
      <c r="C46" s="19" t="s">
        <v>41</v>
      </c>
      <c r="D46" s="19" t="s">
        <v>253</v>
      </c>
      <c r="E46" s="19" t="s">
        <v>274</v>
      </c>
      <c r="F46" s="20"/>
      <c r="G46" s="21" t="s">
        <v>275</v>
      </c>
      <c r="H46" s="18"/>
      <c r="I46" s="19" t="s">
        <v>276</v>
      </c>
      <c r="J46" s="210"/>
      <c r="K46" s="250"/>
      <c r="L46" s="251"/>
      <c r="M46" s="252"/>
      <c r="N46" s="253"/>
      <c r="O46" s="252"/>
      <c r="P46" s="254"/>
      <c r="Q46" s="418"/>
      <c r="R46" s="419"/>
      <c r="S46" s="420"/>
      <c r="T46" s="421"/>
      <c r="U46" s="420"/>
      <c r="V46" s="422"/>
      <c r="W46" s="597"/>
      <c r="X46" s="598"/>
      <c r="Y46" s="599"/>
      <c r="Z46" s="600"/>
      <c r="AA46" s="599"/>
      <c r="AB46" s="601"/>
      <c r="AC46" s="781"/>
      <c r="AD46" s="782"/>
      <c r="AE46" s="783"/>
      <c r="AF46" s="784"/>
      <c r="AG46" s="783"/>
      <c r="AH46" s="957"/>
      <c r="AI46" s="913" t="s">
        <v>277</v>
      </c>
    </row>
    <row r="47" spans="1:35" ht="39" x14ac:dyDescent="0.25">
      <c r="A47" s="18" t="s">
        <v>278</v>
      </c>
      <c r="B47" s="19" t="s">
        <v>40</v>
      </c>
      <c r="C47" s="19" t="s">
        <v>41</v>
      </c>
      <c r="D47" s="19" t="s">
        <v>253</v>
      </c>
      <c r="E47" s="19" t="s">
        <v>106</v>
      </c>
      <c r="F47" s="20"/>
      <c r="G47" s="21" t="s">
        <v>279</v>
      </c>
      <c r="H47" s="18"/>
      <c r="I47" s="19" t="s">
        <v>280</v>
      </c>
      <c r="J47" s="210"/>
      <c r="K47" s="250"/>
      <c r="L47" s="251"/>
      <c r="M47" s="252"/>
      <c r="N47" s="253"/>
      <c r="O47" s="252"/>
      <c r="P47" s="254"/>
      <c r="Q47" s="418"/>
      <c r="R47" s="419"/>
      <c r="S47" s="420"/>
      <c r="T47" s="421"/>
      <c r="U47" s="420"/>
      <c r="V47" s="422"/>
      <c r="W47" s="597"/>
      <c r="X47" s="598"/>
      <c r="Y47" s="599"/>
      <c r="Z47" s="600"/>
      <c r="AA47" s="599"/>
      <c r="AB47" s="601"/>
      <c r="AC47" s="781"/>
      <c r="AD47" s="782"/>
      <c r="AE47" s="783"/>
      <c r="AF47" s="784"/>
      <c r="AG47" s="783"/>
      <c r="AH47" s="957"/>
      <c r="AI47" s="913" t="s">
        <v>110</v>
      </c>
    </row>
    <row r="48" spans="1:35" ht="26.25" x14ac:dyDescent="0.25">
      <c r="A48" s="18" t="s">
        <v>281</v>
      </c>
      <c r="B48" s="19" t="s">
        <v>40</v>
      </c>
      <c r="C48" s="19" t="s">
        <v>41</v>
      </c>
      <c r="D48" s="19" t="s">
        <v>253</v>
      </c>
      <c r="E48" s="19" t="s">
        <v>282</v>
      </c>
      <c r="F48" s="20"/>
      <c r="G48" s="21" t="s">
        <v>283</v>
      </c>
      <c r="H48" s="18"/>
      <c r="I48" s="19" t="s">
        <v>276</v>
      </c>
      <c r="J48" s="210"/>
      <c r="K48" s="250"/>
      <c r="L48" s="251"/>
      <c r="M48" s="252"/>
      <c r="N48" s="253"/>
      <c r="O48" s="252"/>
      <c r="P48" s="254"/>
      <c r="Q48" s="418"/>
      <c r="R48" s="419"/>
      <c r="S48" s="420"/>
      <c r="T48" s="421"/>
      <c r="U48" s="420"/>
      <c r="V48" s="422"/>
      <c r="W48" s="597"/>
      <c r="X48" s="598"/>
      <c r="Y48" s="599"/>
      <c r="Z48" s="600"/>
      <c r="AA48" s="599"/>
      <c r="AB48" s="601"/>
      <c r="AC48" s="781"/>
      <c r="AD48" s="782"/>
      <c r="AE48" s="783"/>
      <c r="AF48" s="784"/>
      <c r="AG48" s="783"/>
      <c r="AH48" s="957"/>
      <c r="AI48" s="913" t="s">
        <v>284</v>
      </c>
    </row>
    <row r="49" spans="1:35" ht="26.25" x14ac:dyDescent="0.25">
      <c r="A49" s="18" t="s">
        <v>285</v>
      </c>
      <c r="B49" s="19" t="s">
        <v>40</v>
      </c>
      <c r="C49" s="19" t="s">
        <v>41</v>
      </c>
      <c r="D49" s="19" t="s">
        <v>253</v>
      </c>
      <c r="E49" s="19" t="s">
        <v>220</v>
      </c>
      <c r="F49" s="20"/>
      <c r="G49" s="21" t="s">
        <v>286</v>
      </c>
      <c r="H49" s="18"/>
      <c r="I49" s="19" t="s">
        <v>287</v>
      </c>
      <c r="J49" s="210"/>
      <c r="K49" s="250"/>
      <c r="L49" s="251"/>
      <c r="M49" s="252"/>
      <c r="N49" s="253"/>
      <c r="O49" s="252"/>
      <c r="P49" s="254"/>
      <c r="Q49" s="418"/>
      <c r="R49" s="419"/>
      <c r="S49" s="420"/>
      <c r="T49" s="421"/>
      <c r="U49" s="420"/>
      <c r="V49" s="422"/>
      <c r="W49" s="597"/>
      <c r="X49" s="598"/>
      <c r="Y49" s="599"/>
      <c r="Z49" s="600"/>
      <c r="AA49" s="599"/>
      <c r="AB49" s="601"/>
      <c r="AC49" s="781"/>
      <c r="AD49" s="782"/>
      <c r="AE49" s="783"/>
      <c r="AF49" s="784"/>
      <c r="AG49" s="783"/>
      <c r="AH49" s="957"/>
      <c r="AI49" s="913" t="s">
        <v>261</v>
      </c>
    </row>
    <row r="50" spans="1:35" ht="26.25" x14ac:dyDescent="0.25">
      <c r="A50" s="23" t="s">
        <v>288</v>
      </c>
      <c r="B50" s="24" t="s">
        <v>40</v>
      </c>
      <c r="C50" s="24" t="s">
        <v>41</v>
      </c>
      <c r="D50" s="24" t="s">
        <v>253</v>
      </c>
      <c r="E50" s="24"/>
      <c r="F50" s="25" t="s">
        <v>55</v>
      </c>
      <c r="G50" s="26" t="s">
        <v>289</v>
      </c>
      <c r="H50" s="23"/>
      <c r="I50" s="24"/>
      <c r="J50" s="210"/>
      <c r="K50" s="250" t="s">
        <v>290</v>
      </c>
      <c r="L50" s="251" t="s">
        <v>291</v>
      </c>
      <c r="M50" s="255">
        <f>(1051917/2500)-K50</f>
        <v>234.76679999999999</v>
      </c>
      <c r="N50" s="256">
        <f>5655/2500</f>
        <v>2.262</v>
      </c>
      <c r="O50" s="255">
        <f>(1051917/2000)-K50</f>
        <v>339.95849999999996</v>
      </c>
      <c r="P50" s="257">
        <f>5655/2000</f>
        <v>2.8275000000000001</v>
      </c>
      <c r="Q50" s="418" t="s">
        <v>292</v>
      </c>
      <c r="R50" s="419" t="s">
        <v>293</v>
      </c>
      <c r="S50" s="439">
        <f>(578592/2500)-Q50</f>
        <v>115.43680000000001</v>
      </c>
      <c r="T50" s="440">
        <f>4990/2500</f>
        <v>1.996</v>
      </c>
      <c r="U50" s="439">
        <f>(578592/2000)-Q50</f>
        <v>173.29599999999999</v>
      </c>
      <c r="V50" s="441">
        <f>4990/2000</f>
        <v>2.4950000000000001</v>
      </c>
      <c r="W50" s="597" t="s">
        <v>294</v>
      </c>
      <c r="X50" s="598" t="s">
        <v>295</v>
      </c>
      <c r="Y50" s="604">
        <f>(189789/2500)-W50</f>
        <v>51.915599999999998</v>
      </c>
      <c r="Z50" s="605">
        <f>7907/2500</f>
        <v>3.1627999999999998</v>
      </c>
      <c r="AA50" s="604">
        <f>(189789/2000)-W50</f>
        <v>70.894499999999994</v>
      </c>
      <c r="AB50" s="606">
        <f>7907/2000</f>
        <v>3.9535</v>
      </c>
      <c r="AC50" s="781" t="s">
        <v>296</v>
      </c>
      <c r="AD50" s="782" t="s">
        <v>297</v>
      </c>
      <c r="AE50" s="804">
        <f>(263509/2500)-AC50</f>
        <v>59.403599999999997</v>
      </c>
      <c r="AF50" s="805">
        <f>5728/2500</f>
        <v>2.2911999999999999</v>
      </c>
      <c r="AG50" s="804">
        <f>(263509/2000)-AC50</f>
        <v>85.754500000000007</v>
      </c>
      <c r="AH50" s="964">
        <f>5728/2000</f>
        <v>2.8639999999999999</v>
      </c>
      <c r="AI50" s="914" t="s">
        <v>298</v>
      </c>
    </row>
    <row r="51" spans="1:35" ht="26.25" x14ac:dyDescent="0.25">
      <c r="A51" s="23" t="s">
        <v>288</v>
      </c>
      <c r="B51" s="24" t="s">
        <v>40</v>
      </c>
      <c r="C51" s="24" t="s">
        <v>41</v>
      </c>
      <c r="D51" s="24" t="s">
        <v>253</v>
      </c>
      <c r="E51" s="24"/>
      <c r="F51" s="25" t="s">
        <v>63</v>
      </c>
      <c r="G51" s="26" t="s">
        <v>289</v>
      </c>
      <c r="H51" s="23"/>
      <c r="I51" s="24"/>
      <c r="J51" s="210"/>
      <c r="K51" s="250" t="s">
        <v>299</v>
      </c>
      <c r="L51" s="251" t="s">
        <v>300</v>
      </c>
      <c r="M51" s="255">
        <f>(1051917/2500)-K51</f>
        <v>38.766799999999989</v>
      </c>
      <c r="N51" s="256">
        <f>2753/2500</f>
        <v>1.1012</v>
      </c>
      <c r="O51" s="255">
        <f>(1051917/2000)-K51</f>
        <v>143.95849999999996</v>
      </c>
      <c r="P51" s="257">
        <f>2753/2000</f>
        <v>1.3765000000000001</v>
      </c>
      <c r="Q51" s="418" t="s">
        <v>301</v>
      </c>
      <c r="R51" s="419" t="s">
        <v>302</v>
      </c>
      <c r="S51" s="428">
        <f>(578592/2500)-Q51</f>
        <v>-23.563199999999995</v>
      </c>
      <c r="T51" s="429">
        <f>2270/2500</f>
        <v>0.90800000000000003</v>
      </c>
      <c r="U51" s="428">
        <f>(578592/2000)-Q51</f>
        <v>34.295999999999992</v>
      </c>
      <c r="V51" s="430">
        <f>2270/2000</f>
        <v>1.135</v>
      </c>
      <c r="W51" s="597" t="s">
        <v>303</v>
      </c>
      <c r="X51" s="598" t="s">
        <v>304</v>
      </c>
      <c r="Y51" s="604">
        <f>(189789/2500)-W51</f>
        <v>23.915599999999998</v>
      </c>
      <c r="Z51" s="605">
        <f>3649/2500</f>
        <v>1.4596</v>
      </c>
      <c r="AA51" s="604">
        <f>(189789/2000)-W51</f>
        <v>42.894499999999994</v>
      </c>
      <c r="AB51" s="606">
        <f>3659/2000</f>
        <v>1.8294999999999999</v>
      </c>
      <c r="AC51" s="781" t="s">
        <v>305</v>
      </c>
      <c r="AD51" s="782" t="s">
        <v>306</v>
      </c>
      <c r="AE51" s="804">
        <f>(263509/2500)-AC51</f>
        <v>30.403599999999997</v>
      </c>
      <c r="AF51" s="805">
        <f>3515/2500</f>
        <v>1.4059999999999999</v>
      </c>
      <c r="AG51" s="804">
        <f>(263509/2000)-AC51</f>
        <v>56.754500000000007</v>
      </c>
      <c r="AH51" s="964">
        <f>3513/2000</f>
        <v>1.7565</v>
      </c>
      <c r="AI51" s="914"/>
    </row>
    <row r="52" spans="1:35" ht="30" x14ac:dyDescent="0.25">
      <c r="A52" s="27" t="s">
        <v>288</v>
      </c>
      <c r="B52" s="28" t="s">
        <v>40</v>
      </c>
      <c r="C52" s="28" t="s">
        <v>41</v>
      </c>
      <c r="D52" s="28" t="s">
        <v>253</v>
      </c>
      <c r="E52" s="28"/>
      <c r="F52" s="29" t="s">
        <v>72</v>
      </c>
      <c r="G52" s="30" t="s">
        <v>289</v>
      </c>
      <c r="H52" s="27"/>
      <c r="I52" s="28" t="s">
        <v>307</v>
      </c>
      <c r="J52" s="211"/>
      <c r="K52" s="261" t="s">
        <v>308</v>
      </c>
      <c r="L52" s="262" t="s">
        <v>309</v>
      </c>
      <c r="M52" s="263">
        <f>(1051917/2500)-K52</f>
        <v>-147.23320000000001</v>
      </c>
      <c r="N52" s="264">
        <f>1851/2500</f>
        <v>0.74039999999999995</v>
      </c>
      <c r="O52" s="263">
        <f>(1051917/2000)-K52</f>
        <v>-42.041500000000042</v>
      </c>
      <c r="P52" s="265">
        <f>1851/2000</f>
        <v>0.92549999999999999</v>
      </c>
      <c r="Q52" s="431" t="s">
        <v>310</v>
      </c>
      <c r="R52" s="432" t="s">
        <v>311</v>
      </c>
      <c r="S52" s="433">
        <f>(578592/2500)-Q52</f>
        <v>-139.56319999999999</v>
      </c>
      <c r="T52" s="434">
        <f>1559/2500</f>
        <v>0.62360000000000004</v>
      </c>
      <c r="U52" s="433">
        <f>(578592/2000)-Q52</f>
        <v>-81.704000000000008</v>
      </c>
      <c r="V52" s="435">
        <f>1559/2000</f>
        <v>0.77949999999999997</v>
      </c>
      <c r="W52" s="611" t="s">
        <v>312</v>
      </c>
      <c r="X52" s="612" t="s">
        <v>313</v>
      </c>
      <c r="Y52" s="621">
        <f>(189789/2500)-W52</f>
        <v>-8.4400000000002251E-2</v>
      </c>
      <c r="Z52" s="622">
        <f>2497/2500</f>
        <v>0.99880000000000002</v>
      </c>
      <c r="AA52" s="621">
        <f>(189789/2000)-W52</f>
        <v>18.894499999999994</v>
      </c>
      <c r="AB52" s="623">
        <f>2497/2000</f>
        <v>1.2484999999999999</v>
      </c>
      <c r="AC52" s="792" t="s">
        <v>314</v>
      </c>
      <c r="AD52" s="793" t="s">
        <v>315</v>
      </c>
      <c r="AE52" s="806">
        <f>(263509/2500)-AC52</f>
        <v>-15.596400000000003</v>
      </c>
      <c r="AF52" s="807">
        <f>2177/2500</f>
        <v>0.87080000000000002</v>
      </c>
      <c r="AG52" s="806">
        <f>(263509/2000)-AC52</f>
        <v>10.754500000000007</v>
      </c>
      <c r="AH52" s="965">
        <f>2177/2000</f>
        <v>1.0885</v>
      </c>
      <c r="AI52" s="915"/>
    </row>
    <row r="53" spans="1:35" ht="26.25" x14ac:dyDescent="0.25">
      <c r="A53" s="37" t="s">
        <v>316</v>
      </c>
      <c r="B53" s="38" t="s">
        <v>40</v>
      </c>
      <c r="C53" s="38" t="s">
        <v>41</v>
      </c>
      <c r="D53" s="38" t="s">
        <v>317</v>
      </c>
      <c r="E53" s="38"/>
      <c r="F53" s="39" t="s">
        <v>55</v>
      </c>
      <c r="G53" s="40" t="s">
        <v>318</v>
      </c>
      <c r="H53" s="37"/>
      <c r="I53" s="38"/>
      <c r="J53" s="210"/>
      <c r="K53" s="250" t="s">
        <v>182</v>
      </c>
      <c r="L53" s="251" t="s">
        <v>183</v>
      </c>
      <c r="M53" s="255">
        <f>(1051917/2000)-K53</f>
        <v>518.95849999999996</v>
      </c>
      <c r="N53" s="256">
        <f>150273/2000</f>
        <v>75.136499999999998</v>
      </c>
      <c r="O53" s="255">
        <f>(1051917/1500)-K53</f>
        <v>694.27800000000002</v>
      </c>
      <c r="P53" s="257">
        <f>150273/1500</f>
        <v>100.182</v>
      </c>
      <c r="Q53" s="418" t="s">
        <v>182</v>
      </c>
      <c r="R53" s="419" t="s">
        <v>319</v>
      </c>
      <c r="S53" s="425">
        <f>(578592/2000)-Q53</f>
        <v>282.29599999999999</v>
      </c>
      <c r="T53" s="426">
        <f>82656/2000</f>
        <v>41.328000000000003</v>
      </c>
      <c r="U53" s="425">
        <f>(578509/1500)-Q53</f>
        <v>378.67266666666666</v>
      </c>
      <c r="V53" s="427">
        <f>82656/1500</f>
        <v>55.103999999999999</v>
      </c>
      <c r="W53" s="617" t="s">
        <v>60</v>
      </c>
      <c r="X53" s="598" t="s">
        <v>61</v>
      </c>
      <c r="Y53" s="604">
        <f>(189789/2000)-W53</f>
        <v>94.894499999999994</v>
      </c>
      <c r="Z53" s="605" t="s">
        <v>61</v>
      </c>
      <c r="AA53" s="604">
        <f>(189789/1500)-W53</f>
        <v>126.526</v>
      </c>
      <c r="AB53" s="606" t="s">
        <v>61</v>
      </c>
      <c r="AC53" s="796" t="s">
        <v>60</v>
      </c>
      <c r="AD53" s="782" t="s">
        <v>61</v>
      </c>
      <c r="AE53" s="787">
        <f>(263509/2000)-AC53</f>
        <v>131.75450000000001</v>
      </c>
      <c r="AF53" s="788" t="s">
        <v>61</v>
      </c>
      <c r="AG53" s="787">
        <f>(263509/1500)-AC53</f>
        <v>175.67266666666666</v>
      </c>
      <c r="AH53" s="889" t="s">
        <v>61</v>
      </c>
      <c r="AI53" s="917" t="s">
        <v>47</v>
      </c>
    </row>
    <row r="54" spans="1:35" ht="26.25" x14ac:dyDescent="0.25">
      <c r="A54" s="37" t="s">
        <v>316</v>
      </c>
      <c r="B54" s="38" t="s">
        <v>40</v>
      </c>
      <c r="C54" s="38" t="s">
        <v>41</v>
      </c>
      <c r="D54" s="38" t="s">
        <v>317</v>
      </c>
      <c r="E54" s="38"/>
      <c r="F54" s="39" t="s">
        <v>63</v>
      </c>
      <c r="G54" s="40" t="s">
        <v>318</v>
      </c>
      <c r="H54" s="37"/>
      <c r="I54" s="38"/>
      <c r="J54" s="210"/>
      <c r="K54" s="250" t="s">
        <v>320</v>
      </c>
      <c r="L54" s="251" t="s">
        <v>321</v>
      </c>
      <c r="M54" s="255">
        <f>(1051917/2000)-K54</f>
        <v>480.95849999999996</v>
      </c>
      <c r="N54" s="256">
        <f>23375/2000</f>
        <v>11.6875</v>
      </c>
      <c r="O54" s="255">
        <f>(1051917/1500)-K54</f>
        <v>656.27800000000002</v>
      </c>
      <c r="P54" s="257">
        <f>23375/1500</f>
        <v>15.583333333333334</v>
      </c>
      <c r="Q54" s="418" t="s">
        <v>322</v>
      </c>
      <c r="R54" s="419" t="s">
        <v>323</v>
      </c>
      <c r="S54" s="425">
        <f>(578592/2000)-Q54</f>
        <v>255.29599999999999</v>
      </c>
      <c r="T54" s="426">
        <f>17028/2000</f>
        <v>8.5139999999999993</v>
      </c>
      <c r="U54" s="425">
        <f>(578509/1500)-Q54</f>
        <v>351.67266666666666</v>
      </c>
      <c r="V54" s="427">
        <f>17028/1500</f>
        <v>11.352</v>
      </c>
      <c r="W54" s="597" t="s">
        <v>57</v>
      </c>
      <c r="X54" s="598" t="s">
        <v>148</v>
      </c>
      <c r="Y54" s="604">
        <f>(189789/2000)-W54</f>
        <v>92.894499999999994</v>
      </c>
      <c r="Z54" s="605">
        <f>94894/2000</f>
        <v>47.447000000000003</v>
      </c>
      <c r="AA54" s="604">
        <f>(189789/1500)-W54</f>
        <v>124.526</v>
      </c>
      <c r="AB54" s="606">
        <f>94894/1500</f>
        <v>63.262666666666668</v>
      </c>
      <c r="AC54" s="781" t="s">
        <v>324</v>
      </c>
      <c r="AD54" s="782" t="s">
        <v>325</v>
      </c>
      <c r="AE54" s="787">
        <f>(263509/2000)-AC54</f>
        <v>122.75450000000001</v>
      </c>
      <c r="AF54" s="788">
        <f>29278/2000</f>
        <v>14.638999999999999</v>
      </c>
      <c r="AG54" s="787">
        <f>(263509/1500)-AC54</f>
        <v>166.67266666666666</v>
      </c>
      <c r="AH54" s="889">
        <f>29278/1500</f>
        <v>19.518666666666668</v>
      </c>
      <c r="AI54" s="917"/>
    </row>
    <row r="55" spans="1:35" ht="30" x14ac:dyDescent="0.25">
      <c r="A55" s="41" t="s">
        <v>316</v>
      </c>
      <c r="B55" s="42" t="s">
        <v>40</v>
      </c>
      <c r="C55" s="42" t="s">
        <v>41</v>
      </c>
      <c r="D55" s="42" t="s">
        <v>317</v>
      </c>
      <c r="E55" s="42"/>
      <c r="F55" s="43" t="s">
        <v>72</v>
      </c>
      <c r="G55" s="44" t="s">
        <v>318</v>
      </c>
      <c r="H55" s="41"/>
      <c r="I55" s="42" t="s">
        <v>265</v>
      </c>
      <c r="J55" s="211"/>
      <c r="K55" s="261" t="s">
        <v>303</v>
      </c>
      <c r="L55" s="262" t="s">
        <v>326</v>
      </c>
      <c r="M55" s="266">
        <f>(1051917/2000)-K55</f>
        <v>473.95849999999996</v>
      </c>
      <c r="N55" s="267">
        <f>20229/2000</f>
        <v>10.1145</v>
      </c>
      <c r="O55" s="266">
        <f>(1051917/1500)-K55</f>
        <v>649.27800000000002</v>
      </c>
      <c r="P55" s="268">
        <f>20229/1500</f>
        <v>13.486000000000001</v>
      </c>
      <c r="Q55" s="431" t="s">
        <v>194</v>
      </c>
      <c r="R55" s="432" t="s">
        <v>195</v>
      </c>
      <c r="S55" s="442">
        <f>(578592/2000)-Q55</f>
        <v>248.29599999999999</v>
      </c>
      <c r="T55" s="443">
        <f>14112/2000</f>
        <v>7.056</v>
      </c>
      <c r="U55" s="442">
        <f>(578509/1500)-Q55</f>
        <v>344.67266666666666</v>
      </c>
      <c r="V55" s="444">
        <f>14112/1500</f>
        <v>9.4079999999999995</v>
      </c>
      <c r="W55" s="611" t="s">
        <v>57</v>
      </c>
      <c r="X55" s="612" t="s">
        <v>148</v>
      </c>
      <c r="Y55" s="627">
        <f>(189789/2000)-W55</f>
        <v>92.894499999999994</v>
      </c>
      <c r="Z55" s="628">
        <f>94894/2000</f>
        <v>47.447000000000003</v>
      </c>
      <c r="AA55" s="629">
        <f>(189789/1500)-W55</f>
        <v>124.526</v>
      </c>
      <c r="AB55" s="630">
        <f>94894/1500</f>
        <v>63.262666666666668</v>
      </c>
      <c r="AC55" s="792" t="s">
        <v>324</v>
      </c>
      <c r="AD55" s="793" t="s">
        <v>325</v>
      </c>
      <c r="AE55" s="799">
        <f>(263509/2000)-AC55</f>
        <v>122.75450000000001</v>
      </c>
      <c r="AF55" s="800">
        <f>29278/2000</f>
        <v>14.638999999999999</v>
      </c>
      <c r="AG55" s="801">
        <f>(263509/1500)-AC55</f>
        <v>166.67266666666666</v>
      </c>
      <c r="AH55" s="962">
        <f>29278/1500</f>
        <v>19.518666666666668</v>
      </c>
      <c r="AI55" s="918"/>
    </row>
    <row r="56" spans="1:35" ht="26.25" x14ac:dyDescent="0.25">
      <c r="A56" s="37" t="s">
        <v>327</v>
      </c>
      <c r="B56" s="38" t="s">
        <v>40</v>
      </c>
      <c r="C56" s="38" t="s">
        <v>41</v>
      </c>
      <c r="D56" s="38" t="s">
        <v>328</v>
      </c>
      <c r="E56" s="38"/>
      <c r="F56" s="39" t="s">
        <v>55</v>
      </c>
      <c r="G56" s="40" t="s">
        <v>329</v>
      </c>
      <c r="H56" s="37"/>
      <c r="I56" s="38"/>
      <c r="J56" s="212"/>
      <c r="K56" s="269" t="s">
        <v>66</v>
      </c>
      <c r="L56" s="270" t="s">
        <v>330</v>
      </c>
      <c r="M56" s="271" t="s">
        <v>331</v>
      </c>
      <c r="N56" s="272" t="s">
        <v>61</v>
      </c>
      <c r="O56" s="271" t="s">
        <v>331</v>
      </c>
      <c r="P56" s="273" t="s">
        <v>61</v>
      </c>
      <c r="Q56" s="445" t="s">
        <v>152</v>
      </c>
      <c r="R56" s="446" t="s">
        <v>332</v>
      </c>
      <c r="S56" s="447" t="s">
        <v>331</v>
      </c>
      <c r="T56" s="448" t="s">
        <v>61</v>
      </c>
      <c r="U56" s="447" t="s">
        <v>331</v>
      </c>
      <c r="V56" s="449" t="s">
        <v>61</v>
      </c>
      <c r="W56" s="631" t="s">
        <v>57</v>
      </c>
      <c r="X56" s="598" t="s">
        <v>148</v>
      </c>
      <c r="Y56" s="599" t="s">
        <v>331</v>
      </c>
      <c r="Z56" s="600" t="s">
        <v>61</v>
      </c>
      <c r="AA56" s="599" t="s">
        <v>331</v>
      </c>
      <c r="AB56" s="632" t="s">
        <v>61</v>
      </c>
      <c r="AC56" s="781" t="s">
        <v>149</v>
      </c>
      <c r="AD56" s="782" t="s">
        <v>150</v>
      </c>
      <c r="AE56" s="783" t="s">
        <v>331</v>
      </c>
      <c r="AF56" s="784" t="s">
        <v>61</v>
      </c>
      <c r="AG56" s="783" t="s">
        <v>331</v>
      </c>
      <c r="AH56" s="966" t="s">
        <v>61</v>
      </c>
      <c r="AI56" s="917" t="s">
        <v>333</v>
      </c>
    </row>
    <row r="57" spans="1:35" ht="26.25" x14ac:dyDescent="0.25">
      <c r="A57" s="37" t="s">
        <v>327</v>
      </c>
      <c r="B57" s="38" t="s">
        <v>40</v>
      </c>
      <c r="C57" s="38" t="s">
        <v>41</v>
      </c>
      <c r="D57" s="38" t="s">
        <v>328</v>
      </c>
      <c r="E57" s="38"/>
      <c r="F57" s="39" t="s">
        <v>63</v>
      </c>
      <c r="G57" s="40" t="s">
        <v>329</v>
      </c>
      <c r="H57" s="37"/>
      <c r="I57" s="38"/>
      <c r="J57" s="212"/>
      <c r="K57" s="269" t="s">
        <v>334</v>
      </c>
      <c r="L57" s="270" t="s">
        <v>335</v>
      </c>
      <c r="M57" s="271" t="s">
        <v>331</v>
      </c>
      <c r="N57" s="272" t="s">
        <v>61</v>
      </c>
      <c r="O57" s="271" t="s">
        <v>331</v>
      </c>
      <c r="P57" s="273" t="s">
        <v>61</v>
      </c>
      <c r="Q57" s="445" t="s">
        <v>320</v>
      </c>
      <c r="R57" s="446" t="s">
        <v>336</v>
      </c>
      <c r="S57" s="447" t="s">
        <v>331</v>
      </c>
      <c r="T57" s="448" t="s">
        <v>61</v>
      </c>
      <c r="U57" s="447" t="s">
        <v>331</v>
      </c>
      <c r="V57" s="449" t="s">
        <v>61</v>
      </c>
      <c r="W57" s="631" t="s">
        <v>68</v>
      </c>
      <c r="X57" s="633" t="s">
        <v>69</v>
      </c>
      <c r="Y57" s="634" t="s">
        <v>331</v>
      </c>
      <c r="Z57" s="635" t="s">
        <v>61</v>
      </c>
      <c r="AA57" s="634" t="s">
        <v>331</v>
      </c>
      <c r="AB57" s="632" t="s">
        <v>61</v>
      </c>
      <c r="AC57" s="808" t="s">
        <v>234</v>
      </c>
      <c r="AD57" s="809" t="s">
        <v>235</v>
      </c>
      <c r="AE57" s="810" t="s">
        <v>331</v>
      </c>
      <c r="AF57" s="811" t="s">
        <v>61</v>
      </c>
      <c r="AG57" s="810" t="s">
        <v>331</v>
      </c>
      <c r="AH57" s="966" t="s">
        <v>61</v>
      </c>
      <c r="AI57" s="917"/>
    </row>
    <row r="58" spans="1:35" x14ac:dyDescent="0.25">
      <c r="A58" s="41" t="s">
        <v>327</v>
      </c>
      <c r="B58" s="42" t="s">
        <v>40</v>
      </c>
      <c r="C58" s="42" t="s">
        <v>41</v>
      </c>
      <c r="D58" s="42" t="s">
        <v>328</v>
      </c>
      <c r="E58" s="42"/>
      <c r="F58" s="43" t="s">
        <v>72</v>
      </c>
      <c r="G58" s="44" t="s">
        <v>329</v>
      </c>
      <c r="H58" s="41"/>
      <c r="I58" s="42" t="s">
        <v>61</v>
      </c>
      <c r="J58" s="213"/>
      <c r="K58" s="274" t="s">
        <v>312</v>
      </c>
      <c r="L58" s="275" t="s">
        <v>337</v>
      </c>
      <c r="M58" s="276" t="s">
        <v>331</v>
      </c>
      <c r="N58" s="277" t="s">
        <v>61</v>
      </c>
      <c r="O58" s="276" t="s">
        <v>331</v>
      </c>
      <c r="P58" s="278" t="s">
        <v>61</v>
      </c>
      <c r="Q58" s="450" t="s">
        <v>229</v>
      </c>
      <c r="R58" s="451" t="s">
        <v>338</v>
      </c>
      <c r="S58" s="452" t="s">
        <v>331</v>
      </c>
      <c r="T58" s="453" t="s">
        <v>61</v>
      </c>
      <c r="U58" s="452" t="s">
        <v>331</v>
      </c>
      <c r="V58" s="454" t="s">
        <v>61</v>
      </c>
      <c r="W58" s="636" t="s">
        <v>145</v>
      </c>
      <c r="X58" s="637" t="s">
        <v>196</v>
      </c>
      <c r="Y58" s="638" t="s">
        <v>331</v>
      </c>
      <c r="Z58" s="639" t="s">
        <v>61</v>
      </c>
      <c r="AA58" s="638" t="s">
        <v>331</v>
      </c>
      <c r="AB58" s="640" t="s">
        <v>61</v>
      </c>
      <c r="AC58" s="812" t="s">
        <v>122</v>
      </c>
      <c r="AD58" s="813" t="s">
        <v>339</v>
      </c>
      <c r="AE58" s="814" t="s">
        <v>331</v>
      </c>
      <c r="AF58" s="815" t="s">
        <v>61</v>
      </c>
      <c r="AG58" s="814" t="s">
        <v>331</v>
      </c>
      <c r="AH58" s="967" t="s">
        <v>61</v>
      </c>
      <c r="AI58" s="918"/>
    </row>
    <row r="59" spans="1:35" ht="30" x14ac:dyDescent="0.25">
      <c r="A59" s="45" t="s">
        <v>340</v>
      </c>
      <c r="B59" s="46" t="s">
        <v>40</v>
      </c>
      <c r="C59" s="46" t="s">
        <v>41</v>
      </c>
      <c r="D59" s="46" t="s">
        <v>341</v>
      </c>
      <c r="E59" s="46"/>
      <c r="F59" s="47" t="s">
        <v>63</v>
      </c>
      <c r="G59" s="48" t="s">
        <v>342</v>
      </c>
      <c r="H59" s="45"/>
      <c r="I59" s="46" t="s">
        <v>343</v>
      </c>
      <c r="J59" s="211"/>
      <c r="K59" s="261" t="s">
        <v>149</v>
      </c>
      <c r="L59" s="262" t="s">
        <v>344</v>
      </c>
      <c r="M59" s="266">
        <f>(1051917/66000)-K59</f>
        <v>14.938136363636364</v>
      </c>
      <c r="N59" s="267">
        <f>1051917/66000</f>
        <v>15.938136363636364</v>
      </c>
      <c r="O59" s="266">
        <f>(1051917/47000)-K59</f>
        <v>21.381212765957446</v>
      </c>
      <c r="P59" s="268">
        <f>1051917/47000</f>
        <v>22.381212765957446</v>
      </c>
      <c r="Q59" s="431" t="s">
        <v>149</v>
      </c>
      <c r="R59" s="432" t="s">
        <v>345</v>
      </c>
      <c r="S59" s="442">
        <f>(578592/66000)-Q59</f>
        <v>7.7665454545454544</v>
      </c>
      <c r="T59" s="443">
        <f>578952/66000</f>
        <v>8.7720000000000002</v>
      </c>
      <c r="U59" s="442">
        <f>(578592/47000)-1</f>
        <v>11.310468085106383</v>
      </c>
      <c r="V59" s="444">
        <f>578952/47000</f>
        <v>12.318127659574468</v>
      </c>
      <c r="W59" s="641" t="s">
        <v>60</v>
      </c>
      <c r="X59" s="612" t="s">
        <v>61</v>
      </c>
      <c r="Y59" s="627">
        <f>(189789/66000)</f>
        <v>2.8755909090909091</v>
      </c>
      <c r="Z59" s="642" t="s">
        <v>61</v>
      </c>
      <c r="AA59" s="627">
        <f>(189789/47000)</f>
        <v>4.0380638297872338</v>
      </c>
      <c r="AB59" s="643" t="s">
        <v>61</v>
      </c>
      <c r="AC59" s="816" t="s">
        <v>60</v>
      </c>
      <c r="AD59" s="793" t="s">
        <v>61</v>
      </c>
      <c r="AE59" s="799">
        <f>(263509/66000)</f>
        <v>3.9925606060606063</v>
      </c>
      <c r="AF59" s="817" t="s">
        <v>61</v>
      </c>
      <c r="AG59" s="799">
        <f>263509/47000</f>
        <v>5.606574468085106</v>
      </c>
      <c r="AH59" s="968" t="s">
        <v>61</v>
      </c>
      <c r="AI59" s="919" t="s">
        <v>346</v>
      </c>
    </row>
    <row r="60" spans="1:35" ht="26.25" x14ac:dyDescent="0.25">
      <c r="A60" s="32" t="s">
        <v>347</v>
      </c>
      <c r="B60" s="33" t="s">
        <v>40</v>
      </c>
      <c r="C60" s="33" t="s">
        <v>41</v>
      </c>
      <c r="D60" s="33" t="s">
        <v>348</v>
      </c>
      <c r="E60" s="33"/>
      <c r="F60" s="34"/>
      <c r="G60" s="35" t="s">
        <v>349</v>
      </c>
      <c r="H60" s="32"/>
      <c r="I60" s="33" t="s">
        <v>350</v>
      </c>
      <c r="J60" s="210"/>
      <c r="K60" s="250"/>
      <c r="L60" s="251"/>
      <c r="M60" s="252"/>
      <c r="N60" s="253"/>
      <c r="O60" s="252"/>
      <c r="P60" s="254"/>
      <c r="Q60" s="418"/>
      <c r="R60" s="419"/>
      <c r="S60" s="420"/>
      <c r="T60" s="421"/>
      <c r="U60" s="420"/>
      <c r="V60" s="422"/>
      <c r="W60" s="597"/>
      <c r="X60" s="598"/>
      <c r="Y60" s="599"/>
      <c r="Z60" s="600"/>
      <c r="AA60" s="599"/>
      <c r="AB60" s="601"/>
      <c r="AC60" s="781"/>
      <c r="AD60" s="782"/>
      <c r="AE60" s="783"/>
      <c r="AF60" s="784"/>
      <c r="AG60" s="783"/>
      <c r="AH60" s="957"/>
      <c r="AI60" s="916" t="s">
        <v>351</v>
      </c>
    </row>
    <row r="61" spans="1:35" ht="39" x14ac:dyDescent="0.25">
      <c r="A61" s="18" t="s">
        <v>352</v>
      </c>
      <c r="B61" s="19" t="s">
        <v>40</v>
      </c>
      <c r="C61" s="19" t="s">
        <v>41</v>
      </c>
      <c r="D61" s="19" t="s">
        <v>353</v>
      </c>
      <c r="E61" s="19" t="s">
        <v>80</v>
      </c>
      <c r="F61" s="20"/>
      <c r="G61" s="21" t="s">
        <v>354</v>
      </c>
      <c r="H61" s="18"/>
      <c r="I61" s="19" t="s">
        <v>276</v>
      </c>
      <c r="J61" s="210"/>
      <c r="K61" s="250"/>
      <c r="L61" s="251"/>
      <c r="M61" s="252"/>
      <c r="N61" s="253"/>
      <c r="O61" s="252"/>
      <c r="P61" s="254"/>
      <c r="Q61" s="418"/>
      <c r="R61" s="419"/>
      <c r="S61" s="420"/>
      <c r="T61" s="421"/>
      <c r="U61" s="420"/>
      <c r="V61" s="422"/>
      <c r="W61" s="597"/>
      <c r="X61" s="598"/>
      <c r="Y61" s="599"/>
      <c r="Z61" s="600"/>
      <c r="AA61" s="599"/>
      <c r="AB61" s="601"/>
      <c r="AC61" s="781"/>
      <c r="AD61" s="782"/>
      <c r="AE61" s="783"/>
      <c r="AF61" s="784"/>
      <c r="AG61" s="783"/>
      <c r="AH61" s="957"/>
      <c r="AI61" s="913" t="s">
        <v>355</v>
      </c>
    </row>
    <row r="62" spans="1:35" ht="39" x14ac:dyDescent="0.25">
      <c r="A62" s="18" t="s">
        <v>356</v>
      </c>
      <c r="B62" s="19" t="s">
        <v>40</v>
      </c>
      <c r="C62" s="19" t="s">
        <v>41</v>
      </c>
      <c r="D62" s="19" t="s">
        <v>353</v>
      </c>
      <c r="E62" s="19" t="s">
        <v>258</v>
      </c>
      <c r="F62" s="20"/>
      <c r="G62" s="21" t="s">
        <v>357</v>
      </c>
      <c r="H62" s="18"/>
      <c r="I62" s="19" t="s">
        <v>358</v>
      </c>
      <c r="J62" s="210"/>
      <c r="K62" s="250"/>
      <c r="L62" s="251"/>
      <c r="M62" s="252"/>
      <c r="N62" s="253"/>
      <c r="O62" s="252"/>
      <c r="P62" s="254"/>
      <c r="Q62" s="418"/>
      <c r="R62" s="419"/>
      <c r="S62" s="420"/>
      <c r="T62" s="421"/>
      <c r="U62" s="420"/>
      <c r="V62" s="422"/>
      <c r="W62" s="597"/>
      <c r="X62" s="598"/>
      <c r="Y62" s="599"/>
      <c r="Z62" s="600"/>
      <c r="AA62" s="599"/>
      <c r="AB62" s="601"/>
      <c r="AC62" s="781"/>
      <c r="AD62" s="782"/>
      <c r="AE62" s="783"/>
      <c r="AF62" s="784"/>
      <c r="AG62" s="783"/>
      <c r="AH62" s="957"/>
      <c r="AI62" s="913" t="s">
        <v>359</v>
      </c>
    </row>
    <row r="63" spans="1:35" ht="26.25" x14ac:dyDescent="0.25">
      <c r="A63" s="18" t="s">
        <v>360</v>
      </c>
      <c r="B63" s="19" t="s">
        <v>40</v>
      </c>
      <c r="C63" s="19" t="s">
        <v>41</v>
      </c>
      <c r="D63" s="19" t="s">
        <v>353</v>
      </c>
      <c r="E63" s="19" t="s">
        <v>361</v>
      </c>
      <c r="F63" s="20"/>
      <c r="G63" s="21" t="s">
        <v>362</v>
      </c>
      <c r="H63" s="18"/>
      <c r="I63" s="19" t="s">
        <v>89</v>
      </c>
      <c r="J63" s="210"/>
      <c r="K63" s="250"/>
      <c r="L63" s="251"/>
      <c r="M63" s="252"/>
      <c r="N63" s="253"/>
      <c r="O63" s="252"/>
      <c r="P63" s="254"/>
      <c r="Q63" s="418"/>
      <c r="R63" s="419"/>
      <c r="S63" s="420"/>
      <c r="T63" s="421"/>
      <c r="U63" s="420"/>
      <c r="V63" s="422"/>
      <c r="W63" s="597"/>
      <c r="X63" s="598"/>
      <c r="Y63" s="599"/>
      <c r="Z63" s="600"/>
      <c r="AA63" s="599"/>
      <c r="AB63" s="601"/>
      <c r="AC63" s="781"/>
      <c r="AD63" s="782"/>
      <c r="AE63" s="783"/>
      <c r="AF63" s="784"/>
      <c r="AG63" s="783"/>
      <c r="AH63" s="957"/>
      <c r="AI63" s="913" t="s">
        <v>363</v>
      </c>
    </row>
    <row r="64" spans="1:35" ht="51.75" x14ac:dyDescent="0.25">
      <c r="A64" s="18" t="s">
        <v>364</v>
      </c>
      <c r="B64" s="19" t="s">
        <v>40</v>
      </c>
      <c r="C64" s="19" t="s">
        <v>41</v>
      </c>
      <c r="D64" s="19" t="s">
        <v>353</v>
      </c>
      <c r="E64" s="19" t="s">
        <v>365</v>
      </c>
      <c r="F64" s="20"/>
      <c r="G64" s="21" t="s">
        <v>366</v>
      </c>
      <c r="H64" s="18"/>
      <c r="I64" s="19" t="s">
        <v>89</v>
      </c>
      <c r="J64" s="210"/>
      <c r="K64" s="250"/>
      <c r="L64" s="251"/>
      <c r="M64" s="252"/>
      <c r="N64" s="253"/>
      <c r="O64" s="252"/>
      <c r="P64" s="254"/>
      <c r="Q64" s="418"/>
      <c r="R64" s="419"/>
      <c r="S64" s="420"/>
      <c r="T64" s="421"/>
      <c r="U64" s="420"/>
      <c r="V64" s="422"/>
      <c r="W64" s="597"/>
      <c r="X64" s="598"/>
      <c r="Y64" s="599"/>
      <c r="Z64" s="600"/>
      <c r="AA64" s="599"/>
      <c r="AB64" s="601"/>
      <c r="AC64" s="781"/>
      <c r="AD64" s="782"/>
      <c r="AE64" s="783"/>
      <c r="AF64" s="784"/>
      <c r="AG64" s="783"/>
      <c r="AH64" s="957"/>
      <c r="AI64" s="913" t="s">
        <v>367</v>
      </c>
    </row>
    <row r="65" spans="1:35" ht="39" x14ac:dyDescent="0.25">
      <c r="A65" s="18" t="s">
        <v>368</v>
      </c>
      <c r="B65" s="19" t="s">
        <v>40</v>
      </c>
      <c r="C65" s="19" t="s">
        <v>41</v>
      </c>
      <c r="D65" s="19" t="s">
        <v>353</v>
      </c>
      <c r="E65" s="19" t="s">
        <v>42</v>
      </c>
      <c r="F65" s="20"/>
      <c r="G65" s="21" t="s">
        <v>369</v>
      </c>
      <c r="H65" s="18"/>
      <c r="I65" s="19" t="s">
        <v>255</v>
      </c>
      <c r="J65" s="210"/>
      <c r="K65" s="250"/>
      <c r="L65" s="251"/>
      <c r="M65" s="252"/>
      <c r="N65" s="253"/>
      <c r="O65" s="252"/>
      <c r="P65" s="254"/>
      <c r="Q65" s="418"/>
      <c r="R65" s="419"/>
      <c r="S65" s="420"/>
      <c r="T65" s="421"/>
      <c r="U65" s="420"/>
      <c r="V65" s="422"/>
      <c r="W65" s="597"/>
      <c r="X65" s="598"/>
      <c r="Y65" s="599"/>
      <c r="Z65" s="600"/>
      <c r="AA65" s="599"/>
      <c r="AB65" s="601"/>
      <c r="AC65" s="781"/>
      <c r="AD65" s="782"/>
      <c r="AE65" s="783"/>
      <c r="AF65" s="784"/>
      <c r="AG65" s="783"/>
      <c r="AH65" s="957"/>
      <c r="AI65" s="913" t="s">
        <v>355</v>
      </c>
    </row>
    <row r="66" spans="1:35" ht="26.25" x14ac:dyDescent="0.25">
      <c r="A66" s="18" t="s">
        <v>370</v>
      </c>
      <c r="B66" s="19" t="s">
        <v>40</v>
      </c>
      <c r="C66" s="19" t="s">
        <v>41</v>
      </c>
      <c r="D66" s="19" t="s">
        <v>353</v>
      </c>
      <c r="E66" s="19" t="s">
        <v>371</v>
      </c>
      <c r="F66" s="20"/>
      <c r="G66" s="21" t="s">
        <v>372</v>
      </c>
      <c r="H66" s="18"/>
      <c r="I66" s="19" t="s">
        <v>373</v>
      </c>
      <c r="J66" s="210"/>
      <c r="K66" s="250"/>
      <c r="L66" s="251"/>
      <c r="M66" s="252"/>
      <c r="N66" s="253"/>
      <c r="O66" s="252"/>
      <c r="P66" s="254"/>
      <c r="Q66" s="418"/>
      <c r="R66" s="419"/>
      <c r="S66" s="420"/>
      <c r="T66" s="421"/>
      <c r="U66" s="420"/>
      <c r="V66" s="422"/>
      <c r="W66" s="597"/>
      <c r="X66" s="598"/>
      <c r="Y66" s="599"/>
      <c r="Z66" s="600"/>
      <c r="AA66" s="599"/>
      <c r="AB66" s="601"/>
      <c r="AC66" s="781"/>
      <c r="AD66" s="782"/>
      <c r="AE66" s="783"/>
      <c r="AF66" s="784"/>
      <c r="AG66" s="783"/>
      <c r="AH66" s="957"/>
      <c r="AI66" s="913" t="s">
        <v>374</v>
      </c>
    </row>
    <row r="67" spans="1:35" ht="39" x14ac:dyDescent="0.25">
      <c r="A67" s="18" t="s">
        <v>375</v>
      </c>
      <c r="B67" s="19" t="s">
        <v>40</v>
      </c>
      <c r="C67" s="19" t="s">
        <v>41</v>
      </c>
      <c r="D67" s="19" t="s">
        <v>353</v>
      </c>
      <c r="E67" s="19" t="s">
        <v>49</v>
      </c>
      <c r="F67" s="20"/>
      <c r="G67" s="21" t="s">
        <v>376</v>
      </c>
      <c r="H67" s="18"/>
      <c r="I67" s="19" t="s">
        <v>89</v>
      </c>
      <c r="J67" s="210"/>
      <c r="K67" s="250"/>
      <c r="L67" s="251"/>
      <c r="M67" s="252"/>
      <c r="N67" s="253"/>
      <c r="O67" s="252"/>
      <c r="P67" s="254"/>
      <c r="Q67" s="418"/>
      <c r="R67" s="419"/>
      <c r="S67" s="420"/>
      <c r="T67" s="421"/>
      <c r="U67" s="420"/>
      <c r="V67" s="422"/>
      <c r="W67" s="597"/>
      <c r="X67" s="598"/>
      <c r="Y67" s="599"/>
      <c r="Z67" s="600"/>
      <c r="AA67" s="599"/>
      <c r="AB67" s="601"/>
      <c r="AC67" s="781"/>
      <c r="AD67" s="782"/>
      <c r="AE67" s="783"/>
      <c r="AF67" s="784"/>
      <c r="AG67" s="783"/>
      <c r="AH67" s="957"/>
      <c r="AI67" s="913" t="s">
        <v>377</v>
      </c>
    </row>
    <row r="68" spans="1:35" ht="39" x14ac:dyDescent="0.25">
      <c r="A68" s="18" t="s">
        <v>378</v>
      </c>
      <c r="B68" s="19" t="s">
        <v>40</v>
      </c>
      <c r="C68" s="19" t="s">
        <v>41</v>
      </c>
      <c r="D68" s="19" t="s">
        <v>353</v>
      </c>
      <c r="E68" s="19" t="s">
        <v>379</v>
      </c>
      <c r="F68" s="20"/>
      <c r="G68" s="21" t="s">
        <v>380</v>
      </c>
      <c r="H68" s="18"/>
      <c r="I68" s="19" t="s">
        <v>191</v>
      </c>
      <c r="J68" s="210"/>
      <c r="K68" s="250"/>
      <c r="L68" s="251"/>
      <c r="M68" s="252"/>
      <c r="N68" s="253"/>
      <c r="O68" s="252"/>
      <c r="P68" s="254"/>
      <c r="Q68" s="418"/>
      <c r="R68" s="419"/>
      <c r="S68" s="420"/>
      <c r="T68" s="421"/>
      <c r="U68" s="420"/>
      <c r="V68" s="422"/>
      <c r="W68" s="597"/>
      <c r="X68" s="598"/>
      <c r="Y68" s="599"/>
      <c r="Z68" s="600"/>
      <c r="AA68" s="599"/>
      <c r="AB68" s="601"/>
      <c r="AC68" s="781"/>
      <c r="AD68" s="782"/>
      <c r="AE68" s="783"/>
      <c r="AF68" s="784"/>
      <c r="AG68" s="783"/>
      <c r="AH68" s="957"/>
      <c r="AI68" s="913" t="s">
        <v>359</v>
      </c>
    </row>
    <row r="69" spans="1:35" ht="39" x14ac:dyDescent="0.25">
      <c r="A69" s="18" t="s">
        <v>381</v>
      </c>
      <c r="B69" s="19" t="s">
        <v>40</v>
      </c>
      <c r="C69" s="19" t="s">
        <v>41</v>
      </c>
      <c r="D69" s="19" t="s">
        <v>353</v>
      </c>
      <c r="E69" s="19" t="s">
        <v>86</v>
      </c>
      <c r="F69" s="20"/>
      <c r="G69" s="21" t="s">
        <v>382</v>
      </c>
      <c r="H69" s="18"/>
      <c r="I69" s="19" t="s">
        <v>383</v>
      </c>
      <c r="J69" s="210"/>
      <c r="K69" s="250"/>
      <c r="L69" s="251"/>
      <c r="M69" s="252"/>
      <c r="N69" s="253"/>
      <c r="O69" s="252"/>
      <c r="P69" s="254"/>
      <c r="Q69" s="418"/>
      <c r="R69" s="419"/>
      <c r="S69" s="420"/>
      <c r="T69" s="421"/>
      <c r="U69" s="420"/>
      <c r="V69" s="422"/>
      <c r="W69" s="597"/>
      <c r="X69" s="598"/>
      <c r="Y69" s="599"/>
      <c r="Z69" s="600"/>
      <c r="AA69" s="599"/>
      <c r="AB69" s="601"/>
      <c r="AC69" s="781"/>
      <c r="AD69" s="782"/>
      <c r="AE69" s="783"/>
      <c r="AF69" s="784"/>
      <c r="AG69" s="783"/>
      <c r="AH69" s="957"/>
      <c r="AI69" s="913" t="s">
        <v>359</v>
      </c>
    </row>
    <row r="70" spans="1:35" ht="39" x14ac:dyDescent="0.25">
      <c r="A70" s="18" t="s">
        <v>384</v>
      </c>
      <c r="B70" s="19" t="s">
        <v>40</v>
      </c>
      <c r="C70" s="19" t="s">
        <v>41</v>
      </c>
      <c r="D70" s="19" t="s">
        <v>353</v>
      </c>
      <c r="E70" s="19" t="s">
        <v>385</v>
      </c>
      <c r="F70" s="20"/>
      <c r="G70" s="21" t="s">
        <v>386</v>
      </c>
      <c r="H70" s="18"/>
      <c r="I70" s="19" t="s">
        <v>276</v>
      </c>
      <c r="J70" s="210"/>
      <c r="K70" s="250"/>
      <c r="L70" s="251"/>
      <c r="M70" s="252"/>
      <c r="N70" s="253"/>
      <c r="O70" s="252"/>
      <c r="P70" s="254"/>
      <c r="Q70" s="418"/>
      <c r="R70" s="419"/>
      <c r="S70" s="420"/>
      <c r="T70" s="421"/>
      <c r="U70" s="420"/>
      <c r="V70" s="422"/>
      <c r="W70" s="597"/>
      <c r="X70" s="598"/>
      <c r="Y70" s="599"/>
      <c r="Z70" s="600"/>
      <c r="AA70" s="599"/>
      <c r="AB70" s="601"/>
      <c r="AC70" s="781"/>
      <c r="AD70" s="782"/>
      <c r="AE70" s="783"/>
      <c r="AF70" s="784"/>
      <c r="AG70" s="783"/>
      <c r="AH70" s="957"/>
      <c r="AI70" s="913" t="s">
        <v>359</v>
      </c>
    </row>
    <row r="71" spans="1:35" ht="26.25" x14ac:dyDescent="0.25">
      <c r="A71" s="18" t="s">
        <v>387</v>
      </c>
      <c r="B71" s="19" t="s">
        <v>40</v>
      </c>
      <c r="C71" s="19" t="s">
        <v>41</v>
      </c>
      <c r="D71" s="19" t="s">
        <v>353</v>
      </c>
      <c r="E71" s="19" t="s">
        <v>388</v>
      </c>
      <c r="F71" s="20"/>
      <c r="G71" s="21" t="s">
        <v>389</v>
      </c>
      <c r="H71" s="18"/>
      <c r="I71" s="19" t="s">
        <v>276</v>
      </c>
      <c r="J71" s="210"/>
      <c r="K71" s="250"/>
      <c r="L71" s="251"/>
      <c r="M71" s="252"/>
      <c r="N71" s="253"/>
      <c r="O71" s="252"/>
      <c r="P71" s="254"/>
      <c r="Q71" s="418"/>
      <c r="R71" s="419"/>
      <c r="S71" s="420"/>
      <c r="T71" s="421"/>
      <c r="U71" s="420"/>
      <c r="V71" s="422"/>
      <c r="W71" s="597"/>
      <c r="X71" s="598"/>
      <c r="Y71" s="599"/>
      <c r="Z71" s="600"/>
      <c r="AA71" s="599"/>
      <c r="AB71" s="601"/>
      <c r="AC71" s="781"/>
      <c r="AD71" s="782"/>
      <c r="AE71" s="783"/>
      <c r="AF71" s="784"/>
      <c r="AG71" s="783"/>
      <c r="AH71" s="957"/>
      <c r="AI71" s="913" t="s">
        <v>359</v>
      </c>
    </row>
    <row r="72" spans="1:35" ht="39" x14ac:dyDescent="0.25">
      <c r="A72" s="18" t="s">
        <v>390</v>
      </c>
      <c r="B72" s="19" t="s">
        <v>40</v>
      </c>
      <c r="C72" s="19" t="s">
        <v>41</v>
      </c>
      <c r="D72" s="19" t="s">
        <v>353</v>
      </c>
      <c r="E72" s="19" t="s">
        <v>267</v>
      </c>
      <c r="F72" s="20"/>
      <c r="G72" s="21" t="s">
        <v>391</v>
      </c>
      <c r="H72" s="18"/>
      <c r="I72" s="19" t="s">
        <v>392</v>
      </c>
      <c r="J72" s="210"/>
      <c r="K72" s="250"/>
      <c r="L72" s="251"/>
      <c r="M72" s="252"/>
      <c r="N72" s="253"/>
      <c r="O72" s="252"/>
      <c r="P72" s="254"/>
      <c r="Q72" s="418"/>
      <c r="R72" s="419"/>
      <c r="S72" s="420"/>
      <c r="T72" s="421"/>
      <c r="U72" s="420"/>
      <c r="V72" s="422"/>
      <c r="W72" s="597"/>
      <c r="X72" s="598"/>
      <c r="Y72" s="599"/>
      <c r="Z72" s="600"/>
      <c r="AA72" s="599"/>
      <c r="AB72" s="601"/>
      <c r="AC72" s="781"/>
      <c r="AD72" s="782"/>
      <c r="AE72" s="783"/>
      <c r="AF72" s="784"/>
      <c r="AG72" s="783"/>
      <c r="AH72" s="957"/>
      <c r="AI72" s="913" t="s">
        <v>359</v>
      </c>
    </row>
    <row r="73" spans="1:35" ht="26.25" x14ac:dyDescent="0.25">
      <c r="A73" s="18" t="s">
        <v>393</v>
      </c>
      <c r="B73" s="19" t="s">
        <v>40</v>
      </c>
      <c r="C73" s="19" t="s">
        <v>41</v>
      </c>
      <c r="D73" s="19" t="s">
        <v>353</v>
      </c>
      <c r="E73" s="19" t="s">
        <v>394</v>
      </c>
      <c r="F73" s="20"/>
      <c r="G73" s="21" t="s">
        <v>395</v>
      </c>
      <c r="H73" s="18"/>
      <c r="I73" s="19" t="s">
        <v>191</v>
      </c>
      <c r="J73" s="210"/>
      <c r="K73" s="250"/>
      <c r="L73" s="251"/>
      <c r="M73" s="252"/>
      <c r="N73" s="253"/>
      <c r="O73" s="252"/>
      <c r="P73" s="254"/>
      <c r="Q73" s="418"/>
      <c r="R73" s="419"/>
      <c r="S73" s="420"/>
      <c r="T73" s="421"/>
      <c r="U73" s="420"/>
      <c r="V73" s="422"/>
      <c r="W73" s="597"/>
      <c r="X73" s="598"/>
      <c r="Y73" s="599"/>
      <c r="Z73" s="600"/>
      <c r="AA73" s="599"/>
      <c r="AB73" s="601"/>
      <c r="AC73" s="781"/>
      <c r="AD73" s="782"/>
      <c r="AE73" s="783"/>
      <c r="AF73" s="784"/>
      <c r="AG73" s="783"/>
      <c r="AH73" s="957"/>
      <c r="AI73" s="913" t="s">
        <v>359</v>
      </c>
    </row>
    <row r="74" spans="1:35" ht="26.25" x14ac:dyDescent="0.25">
      <c r="A74" s="18" t="s">
        <v>396</v>
      </c>
      <c r="B74" s="19" t="s">
        <v>40</v>
      </c>
      <c r="C74" s="19" t="s">
        <v>41</v>
      </c>
      <c r="D74" s="19" t="s">
        <v>353</v>
      </c>
      <c r="E74" s="19" t="s">
        <v>397</v>
      </c>
      <c r="F74" s="20"/>
      <c r="G74" s="21" t="s">
        <v>398</v>
      </c>
      <c r="H74" s="18"/>
      <c r="I74" s="19" t="s">
        <v>399</v>
      </c>
      <c r="J74" s="210"/>
      <c r="K74" s="250"/>
      <c r="L74" s="251"/>
      <c r="M74" s="252"/>
      <c r="N74" s="253"/>
      <c r="O74" s="252"/>
      <c r="P74" s="254"/>
      <c r="Q74" s="418"/>
      <c r="R74" s="419"/>
      <c r="S74" s="420"/>
      <c r="T74" s="421"/>
      <c r="U74" s="420"/>
      <c r="V74" s="422"/>
      <c r="W74" s="597"/>
      <c r="X74" s="598"/>
      <c r="Y74" s="599"/>
      <c r="Z74" s="600"/>
      <c r="AA74" s="599"/>
      <c r="AB74" s="601"/>
      <c r="AC74" s="781"/>
      <c r="AD74" s="782"/>
      <c r="AE74" s="783"/>
      <c r="AF74" s="784"/>
      <c r="AG74" s="783"/>
      <c r="AH74" s="957"/>
      <c r="AI74" s="913" t="s">
        <v>400</v>
      </c>
    </row>
    <row r="75" spans="1:35" ht="26.25" x14ac:dyDescent="0.25">
      <c r="A75" s="18" t="s">
        <v>401</v>
      </c>
      <c r="B75" s="19" t="s">
        <v>40</v>
      </c>
      <c r="C75" s="19" t="s">
        <v>41</v>
      </c>
      <c r="D75" s="19" t="s">
        <v>353</v>
      </c>
      <c r="E75" s="19" t="s">
        <v>402</v>
      </c>
      <c r="F75" s="20"/>
      <c r="G75" s="21" t="s">
        <v>403</v>
      </c>
      <c r="H75" s="18"/>
      <c r="I75" s="19" t="s">
        <v>191</v>
      </c>
      <c r="J75" s="210"/>
      <c r="K75" s="250"/>
      <c r="L75" s="251"/>
      <c r="M75" s="252"/>
      <c r="N75" s="253"/>
      <c r="O75" s="252"/>
      <c r="P75" s="254"/>
      <c r="Q75" s="418"/>
      <c r="R75" s="419"/>
      <c r="S75" s="420"/>
      <c r="T75" s="421"/>
      <c r="U75" s="420"/>
      <c r="V75" s="422"/>
      <c r="W75" s="597"/>
      <c r="X75" s="598"/>
      <c r="Y75" s="599"/>
      <c r="Z75" s="600"/>
      <c r="AA75" s="599"/>
      <c r="AB75" s="601"/>
      <c r="AC75" s="781"/>
      <c r="AD75" s="782"/>
      <c r="AE75" s="783"/>
      <c r="AF75" s="784"/>
      <c r="AG75" s="783"/>
      <c r="AH75" s="957"/>
      <c r="AI75" s="913" t="s">
        <v>404</v>
      </c>
    </row>
    <row r="76" spans="1:35" ht="39" x14ac:dyDescent="0.25">
      <c r="A76" s="18" t="s">
        <v>405</v>
      </c>
      <c r="B76" s="19" t="s">
        <v>40</v>
      </c>
      <c r="C76" s="19" t="s">
        <v>41</v>
      </c>
      <c r="D76" s="19" t="s">
        <v>353</v>
      </c>
      <c r="E76" s="19" t="s">
        <v>92</v>
      </c>
      <c r="F76" s="20"/>
      <c r="G76" s="21" t="s">
        <v>406</v>
      </c>
      <c r="H76" s="18"/>
      <c r="I76" s="19" t="s">
        <v>260</v>
      </c>
      <c r="J76" s="210"/>
      <c r="K76" s="250"/>
      <c r="L76" s="251"/>
      <c r="M76" s="252"/>
      <c r="N76" s="253"/>
      <c r="O76" s="252"/>
      <c r="P76" s="254"/>
      <c r="Q76" s="418"/>
      <c r="R76" s="419"/>
      <c r="S76" s="420"/>
      <c r="T76" s="421"/>
      <c r="U76" s="420"/>
      <c r="V76" s="422"/>
      <c r="W76" s="597"/>
      <c r="X76" s="598"/>
      <c r="Y76" s="599"/>
      <c r="Z76" s="600"/>
      <c r="AA76" s="599"/>
      <c r="AB76" s="601"/>
      <c r="AC76" s="781"/>
      <c r="AD76" s="782"/>
      <c r="AE76" s="783"/>
      <c r="AF76" s="784"/>
      <c r="AG76" s="783"/>
      <c r="AH76" s="957"/>
      <c r="AI76" s="913" t="s">
        <v>95</v>
      </c>
    </row>
    <row r="77" spans="1:35" ht="26.25" x14ac:dyDescent="0.25">
      <c r="A77" s="18" t="s">
        <v>407</v>
      </c>
      <c r="B77" s="19" t="s">
        <v>40</v>
      </c>
      <c r="C77" s="19" t="s">
        <v>41</v>
      </c>
      <c r="D77" s="19" t="s">
        <v>353</v>
      </c>
      <c r="E77" s="19" t="s">
        <v>408</v>
      </c>
      <c r="F77" s="20"/>
      <c r="G77" s="21" t="s">
        <v>409</v>
      </c>
      <c r="H77" s="18"/>
      <c r="I77" s="19" t="s">
        <v>191</v>
      </c>
      <c r="J77" s="210"/>
      <c r="K77" s="250"/>
      <c r="L77" s="251"/>
      <c r="M77" s="252"/>
      <c r="N77" s="253"/>
      <c r="O77" s="252"/>
      <c r="P77" s="254"/>
      <c r="Q77" s="418"/>
      <c r="R77" s="419"/>
      <c r="S77" s="420"/>
      <c r="T77" s="421"/>
      <c r="U77" s="420"/>
      <c r="V77" s="422"/>
      <c r="W77" s="597"/>
      <c r="X77" s="598"/>
      <c r="Y77" s="599"/>
      <c r="Z77" s="600"/>
      <c r="AA77" s="599"/>
      <c r="AB77" s="601"/>
      <c r="AC77" s="781"/>
      <c r="AD77" s="782"/>
      <c r="AE77" s="783"/>
      <c r="AF77" s="784"/>
      <c r="AG77" s="783"/>
      <c r="AH77" s="957"/>
      <c r="AI77" s="913" t="s">
        <v>410</v>
      </c>
    </row>
    <row r="78" spans="1:35" ht="26.25" x14ac:dyDescent="0.25">
      <c r="A78" s="18" t="s">
        <v>411</v>
      </c>
      <c r="B78" s="19" t="s">
        <v>40</v>
      </c>
      <c r="C78" s="19" t="s">
        <v>41</v>
      </c>
      <c r="D78" s="19" t="s">
        <v>353</v>
      </c>
      <c r="E78" s="19" t="s">
        <v>412</v>
      </c>
      <c r="F78" s="20"/>
      <c r="G78" s="21" t="s">
        <v>413</v>
      </c>
      <c r="H78" s="18"/>
      <c r="I78" s="19" t="s">
        <v>276</v>
      </c>
      <c r="J78" s="210"/>
      <c r="K78" s="250"/>
      <c r="L78" s="251"/>
      <c r="M78" s="252"/>
      <c r="N78" s="253"/>
      <c r="O78" s="252"/>
      <c r="P78" s="254"/>
      <c r="Q78" s="418"/>
      <c r="R78" s="419"/>
      <c r="S78" s="420"/>
      <c r="T78" s="421"/>
      <c r="U78" s="420"/>
      <c r="V78" s="422"/>
      <c r="W78" s="597"/>
      <c r="X78" s="598"/>
      <c r="Y78" s="599"/>
      <c r="Z78" s="600"/>
      <c r="AA78" s="599"/>
      <c r="AB78" s="601"/>
      <c r="AC78" s="781"/>
      <c r="AD78" s="782"/>
      <c r="AE78" s="783"/>
      <c r="AF78" s="784"/>
      <c r="AG78" s="783"/>
      <c r="AH78" s="957"/>
      <c r="AI78" s="913" t="s">
        <v>359</v>
      </c>
    </row>
    <row r="79" spans="1:35" ht="26.25" x14ac:dyDescent="0.25">
      <c r="A79" s="18" t="s">
        <v>414</v>
      </c>
      <c r="B79" s="19" t="s">
        <v>40</v>
      </c>
      <c r="C79" s="19" t="s">
        <v>41</v>
      </c>
      <c r="D79" s="19" t="s">
        <v>353</v>
      </c>
      <c r="E79" s="19" t="s">
        <v>415</v>
      </c>
      <c r="F79" s="20"/>
      <c r="G79" s="21" t="s">
        <v>416</v>
      </c>
      <c r="H79" s="18"/>
      <c r="I79" s="19" t="s">
        <v>399</v>
      </c>
      <c r="J79" s="210"/>
      <c r="K79" s="250"/>
      <c r="L79" s="251"/>
      <c r="M79" s="252"/>
      <c r="N79" s="253"/>
      <c r="O79" s="252"/>
      <c r="P79" s="254"/>
      <c r="Q79" s="418"/>
      <c r="R79" s="419"/>
      <c r="S79" s="420"/>
      <c r="T79" s="421"/>
      <c r="U79" s="420"/>
      <c r="V79" s="422"/>
      <c r="W79" s="597"/>
      <c r="X79" s="598"/>
      <c r="Y79" s="599"/>
      <c r="Z79" s="600"/>
      <c r="AA79" s="599"/>
      <c r="AB79" s="601"/>
      <c r="AC79" s="781"/>
      <c r="AD79" s="782"/>
      <c r="AE79" s="783"/>
      <c r="AF79" s="784"/>
      <c r="AG79" s="783"/>
      <c r="AH79" s="957"/>
      <c r="AI79" s="913" t="s">
        <v>417</v>
      </c>
    </row>
    <row r="80" spans="1:35" ht="39" x14ac:dyDescent="0.25">
      <c r="A80" s="18" t="s">
        <v>418</v>
      </c>
      <c r="B80" s="19" t="s">
        <v>40</v>
      </c>
      <c r="C80" s="19" t="s">
        <v>41</v>
      </c>
      <c r="D80" s="19" t="s">
        <v>353</v>
      </c>
      <c r="E80" s="19" t="s">
        <v>419</v>
      </c>
      <c r="F80" s="20"/>
      <c r="G80" s="21" t="s">
        <v>420</v>
      </c>
      <c r="H80" s="18"/>
      <c r="I80" s="19" t="s">
        <v>260</v>
      </c>
      <c r="J80" s="210"/>
      <c r="K80" s="250"/>
      <c r="L80" s="251"/>
      <c r="M80" s="252"/>
      <c r="N80" s="253"/>
      <c r="O80" s="252"/>
      <c r="P80" s="254"/>
      <c r="Q80" s="418"/>
      <c r="R80" s="419"/>
      <c r="S80" s="420"/>
      <c r="T80" s="421"/>
      <c r="U80" s="420"/>
      <c r="V80" s="422"/>
      <c r="W80" s="597"/>
      <c r="X80" s="598"/>
      <c r="Y80" s="599"/>
      <c r="Z80" s="600"/>
      <c r="AA80" s="599"/>
      <c r="AB80" s="601"/>
      <c r="AC80" s="781"/>
      <c r="AD80" s="782"/>
      <c r="AE80" s="783"/>
      <c r="AF80" s="784"/>
      <c r="AG80" s="783"/>
      <c r="AH80" s="957"/>
      <c r="AI80" s="913"/>
    </row>
    <row r="81" spans="1:35" ht="26.25" x14ac:dyDescent="0.25">
      <c r="A81" s="18" t="s">
        <v>421</v>
      </c>
      <c r="B81" s="19" t="s">
        <v>40</v>
      </c>
      <c r="C81" s="19" t="s">
        <v>41</v>
      </c>
      <c r="D81" s="19" t="s">
        <v>353</v>
      </c>
      <c r="E81" s="19" t="s">
        <v>422</v>
      </c>
      <c r="F81" s="20"/>
      <c r="G81" s="21" t="s">
        <v>423</v>
      </c>
      <c r="H81" s="18"/>
      <c r="I81" s="19" t="s">
        <v>399</v>
      </c>
      <c r="J81" s="210"/>
      <c r="K81" s="250"/>
      <c r="L81" s="251"/>
      <c r="M81" s="252"/>
      <c r="N81" s="253"/>
      <c r="O81" s="252"/>
      <c r="P81" s="254"/>
      <c r="Q81" s="418"/>
      <c r="R81" s="419"/>
      <c r="S81" s="420"/>
      <c r="T81" s="421"/>
      <c r="U81" s="420"/>
      <c r="V81" s="422"/>
      <c r="W81" s="597"/>
      <c r="X81" s="598"/>
      <c r="Y81" s="599"/>
      <c r="Z81" s="600"/>
      <c r="AA81" s="599"/>
      <c r="AB81" s="601"/>
      <c r="AC81" s="781"/>
      <c r="AD81" s="782"/>
      <c r="AE81" s="783"/>
      <c r="AF81" s="784"/>
      <c r="AG81" s="783"/>
      <c r="AH81" s="957"/>
      <c r="AI81" s="913" t="s">
        <v>424</v>
      </c>
    </row>
    <row r="82" spans="1:35" ht="26.25" x14ac:dyDescent="0.25">
      <c r="A82" s="18" t="s">
        <v>425</v>
      </c>
      <c r="B82" s="19" t="s">
        <v>40</v>
      </c>
      <c r="C82" s="19" t="s">
        <v>41</v>
      </c>
      <c r="D82" s="19" t="s">
        <v>353</v>
      </c>
      <c r="E82" s="19" t="s">
        <v>426</v>
      </c>
      <c r="F82" s="20"/>
      <c r="G82" s="21" t="s">
        <v>427</v>
      </c>
      <c r="H82" s="18"/>
      <c r="I82" s="19" t="s">
        <v>276</v>
      </c>
      <c r="J82" s="210"/>
      <c r="K82" s="250"/>
      <c r="L82" s="251"/>
      <c r="M82" s="252"/>
      <c r="N82" s="253"/>
      <c r="O82" s="252"/>
      <c r="P82" s="254"/>
      <c r="Q82" s="418"/>
      <c r="R82" s="419"/>
      <c r="S82" s="420"/>
      <c r="T82" s="421"/>
      <c r="U82" s="420"/>
      <c r="V82" s="422"/>
      <c r="W82" s="597"/>
      <c r="X82" s="598"/>
      <c r="Y82" s="599"/>
      <c r="Z82" s="600"/>
      <c r="AA82" s="599"/>
      <c r="AB82" s="601"/>
      <c r="AC82" s="781"/>
      <c r="AD82" s="782"/>
      <c r="AE82" s="783"/>
      <c r="AF82" s="784"/>
      <c r="AG82" s="783"/>
      <c r="AH82" s="957"/>
      <c r="AI82" s="913" t="s">
        <v>359</v>
      </c>
    </row>
    <row r="83" spans="1:35" ht="39" x14ac:dyDescent="0.25">
      <c r="A83" s="18" t="s">
        <v>428</v>
      </c>
      <c r="B83" s="19" t="s">
        <v>40</v>
      </c>
      <c r="C83" s="19" t="s">
        <v>41</v>
      </c>
      <c r="D83" s="19" t="s">
        <v>353</v>
      </c>
      <c r="E83" s="19" t="s">
        <v>274</v>
      </c>
      <c r="F83" s="20"/>
      <c r="G83" s="21" t="s">
        <v>429</v>
      </c>
      <c r="H83" s="18"/>
      <c r="I83" s="19" t="s">
        <v>276</v>
      </c>
      <c r="J83" s="210"/>
      <c r="K83" s="250"/>
      <c r="L83" s="251"/>
      <c r="M83" s="252"/>
      <c r="N83" s="253"/>
      <c r="O83" s="252"/>
      <c r="P83" s="254"/>
      <c r="Q83" s="418"/>
      <c r="R83" s="419"/>
      <c r="S83" s="420"/>
      <c r="T83" s="421"/>
      <c r="U83" s="420"/>
      <c r="V83" s="422"/>
      <c r="W83" s="597"/>
      <c r="X83" s="598"/>
      <c r="Y83" s="599"/>
      <c r="Z83" s="600"/>
      <c r="AA83" s="599"/>
      <c r="AB83" s="601"/>
      <c r="AC83" s="781"/>
      <c r="AD83" s="782"/>
      <c r="AE83" s="783"/>
      <c r="AF83" s="784"/>
      <c r="AG83" s="783"/>
      <c r="AH83" s="957"/>
      <c r="AI83" s="913" t="s">
        <v>277</v>
      </c>
    </row>
    <row r="84" spans="1:35" ht="39" x14ac:dyDescent="0.25">
      <c r="A84" s="18" t="s">
        <v>430</v>
      </c>
      <c r="B84" s="19" t="s">
        <v>40</v>
      </c>
      <c r="C84" s="19" t="s">
        <v>41</v>
      </c>
      <c r="D84" s="19" t="s">
        <v>353</v>
      </c>
      <c r="E84" s="19" t="s">
        <v>106</v>
      </c>
      <c r="F84" s="20"/>
      <c r="G84" s="21" t="s">
        <v>431</v>
      </c>
      <c r="H84" s="18"/>
      <c r="I84" s="19" t="s">
        <v>432</v>
      </c>
      <c r="J84" s="210"/>
      <c r="K84" s="250"/>
      <c r="L84" s="251"/>
      <c r="M84" s="252"/>
      <c r="N84" s="253"/>
      <c r="O84" s="252"/>
      <c r="P84" s="254"/>
      <c r="Q84" s="418"/>
      <c r="R84" s="419"/>
      <c r="S84" s="420"/>
      <c r="T84" s="421"/>
      <c r="U84" s="420"/>
      <c r="V84" s="422"/>
      <c r="W84" s="597"/>
      <c r="X84" s="598"/>
      <c r="Y84" s="599"/>
      <c r="Z84" s="600"/>
      <c r="AA84" s="599"/>
      <c r="AB84" s="601"/>
      <c r="AC84" s="781"/>
      <c r="AD84" s="782"/>
      <c r="AE84" s="783"/>
      <c r="AF84" s="784"/>
      <c r="AG84" s="783"/>
      <c r="AH84" s="957"/>
      <c r="AI84" s="913" t="s">
        <v>110</v>
      </c>
    </row>
    <row r="85" spans="1:35" ht="26.25" x14ac:dyDescent="0.25">
      <c r="A85" s="18" t="s">
        <v>433</v>
      </c>
      <c r="B85" s="19" t="s">
        <v>40</v>
      </c>
      <c r="C85" s="19" t="s">
        <v>41</v>
      </c>
      <c r="D85" s="19" t="s">
        <v>353</v>
      </c>
      <c r="E85" s="19" t="s">
        <v>434</v>
      </c>
      <c r="F85" s="20"/>
      <c r="G85" s="21" t="s">
        <v>435</v>
      </c>
      <c r="H85" s="18"/>
      <c r="I85" s="19" t="s">
        <v>276</v>
      </c>
      <c r="J85" s="210"/>
      <c r="K85" s="250"/>
      <c r="L85" s="251"/>
      <c r="M85" s="252"/>
      <c r="N85" s="253"/>
      <c r="O85" s="252"/>
      <c r="P85" s="254"/>
      <c r="Q85" s="418"/>
      <c r="R85" s="419"/>
      <c r="S85" s="420"/>
      <c r="T85" s="421"/>
      <c r="U85" s="420"/>
      <c r="V85" s="422"/>
      <c r="W85" s="597"/>
      <c r="X85" s="598"/>
      <c r="Y85" s="599"/>
      <c r="Z85" s="600"/>
      <c r="AA85" s="599"/>
      <c r="AB85" s="601"/>
      <c r="AC85" s="781"/>
      <c r="AD85" s="782"/>
      <c r="AE85" s="783"/>
      <c r="AF85" s="784"/>
      <c r="AG85" s="783"/>
      <c r="AH85" s="957"/>
      <c r="AI85" s="913" t="s">
        <v>359</v>
      </c>
    </row>
    <row r="86" spans="1:35" ht="26.25" x14ac:dyDescent="0.25">
      <c r="A86" s="18" t="s">
        <v>436</v>
      </c>
      <c r="B86" s="19" t="s">
        <v>40</v>
      </c>
      <c r="C86" s="19" t="s">
        <v>41</v>
      </c>
      <c r="D86" s="19" t="s">
        <v>353</v>
      </c>
      <c r="E86" s="19" t="s">
        <v>437</v>
      </c>
      <c r="F86" s="20"/>
      <c r="G86" s="21" t="s">
        <v>438</v>
      </c>
      <c r="H86" s="18"/>
      <c r="I86" s="19" t="s">
        <v>191</v>
      </c>
      <c r="J86" s="210"/>
      <c r="K86" s="250"/>
      <c r="L86" s="251"/>
      <c r="M86" s="252"/>
      <c r="N86" s="253"/>
      <c r="O86" s="252"/>
      <c r="P86" s="254"/>
      <c r="Q86" s="418"/>
      <c r="R86" s="419"/>
      <c r="S86" s="420"/>
      <c r="T86" s="421"/>
      <c r="U86" s="420"/>
      <c r="V86" s="422"/>
      <c r="W86" s="597"/>
      <c r="X86" s="598"/>
      <c r="Y86" s="599"/>
      <c r="Z86" s="600"/>
      <c r="AA86" s="599"/>
      <c r="AB86" s="601"/>
      <c r="AC86" s="781"/>
      <c r="AD86" s="782"/>
      <c r="AE86" s="783"/>
      <c r="AF86" s="784"/>
      <c r="AG86" s="783"/>
      <c r="AH86" s="957"/>
      <c r="AI86" s="913" t="s">
        <v>359</v>
      </c>
    </row>
    <row r="87" spans="1:35" ht="26.25" x14ac:dyDescent="0.25">
      <c r="A87" s="18" t="s">
        <v>439</v>
      </c>
      <c r="B87" s="19" t="s">
        <v>40</v>
      </c>
      <c r="C87" s="19" t="s">
        <v>41</v>
      </c>
      <c r="D87" s="19" t="s">
        <v>353</v>
      </c>
      <c r="E87" s="19" t="s">
        <v>282</v>
      </c>
      <c r="F87" s="20"/>
      <c r="G87" s="21" t="s">
        <v>440</v>
      </c>
      <c r="H87" s="18"/>
      <c r="I87" s="19" t="s">
        <v>276</v>
      </c>
      <c r="J87" s="210"/>
      <c r="K87" s="250"/>
      <c r="L87" s="251"/>
      <c r="M87" s="252"/>
      <c r="N87" s="253"/>
      <c r="O87" s="252"/>
      <c r="P87" s="254"/>
      <c r="Q87" s="418"/>
      <c r="R87" s="419"/>
      <c r="S87" s="420"/>
      <c r="T87" s="421"/>
      <c r="U87" s="420"/>
      <c r="V87" s="422"/>
      <c r="W87" s="597"/>
      <c r="X87" s="598"/>
      <c r="Y87" s="599"/>
      <c r="Z87" s="600"/>
      <c r="AA87" s="599"/>
      <c r="AB87" s="601"/>
      <c r="AC87" s="781"/>
      <c r="AD87" s="782"/>
      <c r="AE87" s="783"/>
      <c r="AF87" s="784"/>
      <c r="AG87" s="783"/>
      <c r="AH87" s="957"/>
      <c r="AI87" s="913" t="s">
        <v>441</v>
      </c>
    </row>
    <row r="88" spans="1:35" ht="39" x14ac:dyDescent="0.25">
      <c r="A88" s="18" t="s">
        <v>442</v>
      </c>
      <c r="B88" s="19" t="s">
        <v>40</v>
      </c>
      <c r="C88" s="19" t="s">
        <v>41</v>
      </c>
      <c r="D88" s="19" t="s">
        <v>353</v>
      </c>
      <c r="E88" s="19" t="s">
        <v>220</v>
      </c>
      <c r="F88" s="20"/>
      <c r="G88" s="21" t="s">
        <v>443</v>
      </c>
      <c r="H88" s="18"/>
      <c r="I88" s="19" t="s">
        <v>83</v>
      </c>
      <c r="J88" s="210"/>
      <c r="K88" s="250"/>
      <c r="L88" s="251"/>
      <c r="M88" s="252"/>
      <c r="N88" s="253"/>
      <c r="O88" s="252"/>
      <c r="P88" s="254"/>
      <c r="Q88" s="418"/>
      <c r="R88" s="419"/>
      <c r="S88" s="420"/>
      <c r="T88" s="421"/>
      <c r="U88" s="420"/>
      <c r="V88" s="422"/>
      <c r="W88" s="597"/>
      <c r="X88" s="598"/>
      <c r="Y88" s="599"/>
      <c r="Z88" s="600"/>
      <c r="AA88" s="599"/>
      <c r="AB88" s="601"/>
      <c r="AC88" s="781"/>
      <c r="AD88" s="782"/>
      <c r="AE88" s="783"/>
      <c r="AF88" s="784"/>
      <c r="AG88" s="783"/>
      <c r="AH88" s="957"/>
      <c r="AI88" s="913" t="s">
        <v>359</v>
      </c>
    </row>
    <row r="89" spans="1:35" ht="39" x14ac:dyDescent="0.25">
      <c r="A89" s="18" t="s">
        <v>444</v>
      </c>
      <c r="B89" s="19" t="s">
        <v>40</v>
      </c>
      <c r="C89" s="19" t="s">
        <v>41</v>
      </c>
      <c r="D89" s="19" t="s">
        <v>353</v>
      </c>
      <c r="E89" s="19" t="s">
        <v>445</v>
      </c>
      <c r="F89" s="20"/>
      <c r="G89" s="21" t="s">
        <v>446</v>
      </c>
      <c r="H89" s="18"/>
      <c r="I89" s="19" t="s">
        <v>447</v>
      </c>
      <c r="J89" s="210"/>
      <c r="K89" s="250"/>
      <c r="L89" s="251"/>
      <c r="M89" s="252"/>
      <c r="N89" s="253"/>
      <c r="O89" s="252"/>
      <c r="P89" s="254"/>
      <c r="Q89" s="418"/>
      <c r="R89" s="419"/>
      <c r="S89" s="420"/>
      <c r="T89" s="421"/>
      <c r="U89" s="420"/>
      <c r="V89" s="422"/>
      <c r="W89" s="597"/>
      <c r="X89" s="598"/>
      <c r="Y89" s="599"/>
      <c r="Z89" s="600"/>
      <c r="AA89" s="599"/>
      <c r="AB89" s="601"/>
      <c r="AC89" s="781"/>
      <c r="AD89" s="782"/>
      <c r="AE89" s="783"/>
      <c r="AF89" s="784"/>
      <c r="AG89" s="783"/>
      <c r="AH89" s="957"/>
      <c r="AI89" s="913" t="s">
        <v>448</v>
      </c>
    </row>
    <row r="90" spans="1:35" ht="26.25" x14ac:dyDescent="0.25">
      <c r="A90" s="23" t="s">
        <v>449</v>
      </c>
      <c r="B90" s="24" t="s">
        <v>40</v>
      </c>
      <c r="C90" s="24" t="s">
        <v>41</v>
      </c>
      <c r="D90" s="24" t="s">
        <v>353</v>
      </c>
      <c r="E90" s="24"/>
      <c r="F90" s="25" t="s">
        <v>55</v>
      </c>
      <c r="G90" s="26" t="s">
        <v>450</v>
      </c>
      <c r="H90" s="23"/>
      <c r="I90" s="24"/>
      <c r="J90" s="210"/>
      <c r="K90" s="250" t="s">
        <v>451</v>
      </c>
      <c r="L90" s="251" t="s">
        <v>291</v>
      </c>
      <c r="M90" s="279">
        <f>(1051917/2000)-K90</f>
        <v>342.95849999999996</v>
      </c>
      <c r="N90" s="280">
        <f>5655/2000</f>
        <v>2.8275000000000001</v>
      </c>
      <c r="O90" s="279">
        <f>(1051917/1500)-K90</f>
        <v>518.27800000000002</v>
      </c>
      <c r="P90" s="281">
        <f>5655/1500</f>
        <v>3.77</v>
      </c>
      <c r="Q90" s="418" t="s">
        <v>452</v>
      </c>
      <c r="R90" s="419" t="s">
        <v>453</v>
      </c>
      <c r="S90" s="439">
        <f>(578592/2000)-Q90</f>
        <v>156.29599999999999</v>
      </c>
      <c r="T90" s="440">
        <f>4350/2000</f>
        <v>2.1749999999999998</v>
      </c>
      <c r="U90" s="439">
        <f>(578509/1500)-Q90</f>
        <v>252.67266666666666</v>
      </c>
      <c r="V90" s="441">
        <f>4350/1500</f>
        <v>2.9</v>
      </c>
      <c r="W90" s="597" t="s">
        <v>64</v>
      </c>
      <c r="X90" s="598" t="s">
        <v>454</v>
      </c>
      <c r="Y90" s="644">
        <f>(189789/2000)-W90</f>
        <v>76.894499999999994</v>
      </c>
      <c r="Z90" s="645">
        <f>10543/2000</f>
        <v>5.2714999999999996</v>
      </c>
      <c r="AA90" s="644">
        <f>(189789/1500)-W90</f>
        <v>108.526</v>
      </c>
      <c r="AB90" s="646">
        <f>10543/1500</f>
        <v>7.0286666666666671</v>
      </c>
      <c r="AC90" s="781" t="s">
        <v>112</v>
      </c>
      <c r="AD90" s="782" t="s">
        <v>243</v>
      </c>
      <c r="AE90" s="804">
        <f>(263509/2000)-AC90</f>
        <v>99.754500000000007</v>
      </c>
      <c r="AF90" s="805">
        <f>8234/2000</f>
        <v>4.117</v>
      </c>
      <c r="AG90" s="804">
        <f>(263509/1500)-AC90</f>
        <v>143.67266666666666</v>
      </c>
      <c r="AH90" s="964">
        <f>8234/1500</f>
        <v>5.4893333333333336</v>
      </c>
      <c r="AI90" s="914" t="s">
        <v>359</v>
      </c>
    </row>
    <row r="91" spans="1:35" ht="26.25" x14ac:dyDescent="0.25">
      <c r="A91" s="23" t="s">
        <v>449</v>
      </c>
      <c r="B91" s="24" t="s">
        <v>40</v>
      </c>
      <c r="C91" s="24" t="s">
        <v>41</v>
      </c>
      <c r="D91" s="24" t="s">
        <v>353</v>
      </c>
      <c r="E91" s="24"/>
      <c r="F91" s="25" t="s">
        <v>63</v>
      </c>
      <c r="G91" s="26" t="s">
        <v>450</v>
      </c>
      <c r="H91" s="23"/>
      <c r="I91" s="24"/>
      <c r="J91" s="210"/>
      <c r="K91" s="250" t="s">
        <v>455</v>
      </c>
      <c r="L91" s="251" t="s">
        <v>456</v>
      </c>
      <c r="M91" s="258">
        <f>(1051917/2000)-K91</f>
        <v>-459.04150000000004</v>
      </c>
      <c r="N91" s="259">
        <f>1067/2000</f>
        <v>0.53349999999999997</v>
      </c>
      <c r="O91" s="258">
        <f>(1051917/1500)-K91</f>
        <v>-283.72199999999998</v>
      </c>
      <c r="P91" s="260">
        <f>1067/1500</f>
        <v>0.71133333333333337</v>
      </c>
      <c r="Q91" s="418" t="s">
        <v>457</v>
      </c>
      <c r="R91" s="419" t="s">
        <v>458</v>
      </c>
      <c r="S91" s="428">
        <f>(578592/2000)-Q91</f>
        <v>-346.70400000000001</v>
      </c>
      <c r="T91" s="429">
        <f>909/2000</f>
        <v>0.45450000000000002</v>
      </c>
      <c r="U91" s="428">
        <f>(578509/1500)-Q91</f>
        <v>-250.32733333333334</v>
      </c>
      <c r="V91" s="430">
        <f>909/1500</f>
        <v>0.60599999999999998</v>
      </c>
      <c r="W91" s="597" t="s">
        <v>459</v>
      </c>
      <c r="X91" s="598" t="s">
        <v>460</v>
      </c>
      <c r="Y91" s="608">
        <f>(189789/2000)-W91</f>
        <v>-44.105500000000006</v>
      </c>
      <c r="Z91" s="609">
        <f>1365/2000</f>
        <v>0.6825</v>
      </c>
      <c r="AA91" s="608">
        <f>(189789/1500)-W91</f>
        <v>-12.474000000000004</v>
      </c>
      <c r="AB91" s="610">
        <f>1365/1500</f>
        <v>0.91</v>
      </c>
      <c r="AC91" s="781" t="s">
        <v>461</v>
      </c>
      <c r="AD91" s="782" t="s">
        <v>462</v>
      </c>
      <c r="AE91" s="790">
        <f>(263509/2000)-AC91</f>
        <v>-78.245499999999993</v>
      </c>
      <c r="AF91" s="791">
        <f>1254/2000</f>
        <v>0.627</v>
      </c>
      <c r="AG91" s="790">
        <f>(263509/1500)-AC91</f>
        <v>-34.327333333333343</v>
      </c>
      <c r="AH91" s="958">
        <f>1254/1500</f>
        <v>0.83599999999999997</v>
      </c>
      <c r="AI91" s="914"/>
    </row>
    <row r="92" spans="1:35" ht="30" x14ac:dyDescent="0.25">
      <c r="A92" s="27" t="s">
        <v>449</v>
      </c>
      <c r="B92" s="28" t="s">
        <v>40</v>
      </c>
      <c r="C92" s="28" t="s">
        <v>41</v>
      </c>
      <c r="D92" s="28" t="s">
        <v>353</v>
      </c>
      <c r="E92" s="28"/>
      <c r="F92" s="29" t="s">
        <v>72</v>
      </c>
      <c r="G92" s="30" t="s">
        <v>450</v>
      </c>
      <c r="H92" s="27"/>
      <c r="I92" s="28" t="s">
        <v>265</v>
      </c>
      <c r="J92" s="211"/>
      <c r="K92" s="261" t="s">
        <v>463</v>
      </c>
      <c r="L92" s="262" t="s">
        <v>464</v>
      </c>
      <c r="M92" s="263">
        <f>(1051917/2000)-K92</f>
        <v>-642.04150000000004</v>
      </c>
      <c r="N92" s="264">
        <f>900/2000</f>
        <v>0.45</v>
      </c>
      <c r="O92" s="263">
        <f>(1051917/1500)-K92</f>
        <v>-466.72199999999998</v>
      </c>
      <c r="P92" s="265">
        <f>900/1500</f>
        <v>0.6</v>
      </c>
      <c r="Q92" s="431" t="s">
        <v>465</v>
      </c>
      <c r="R92" s="432" t="s">
        <v>466</v>
      </c>
      <c r="S92" s="433">
        <f>(578592/2000)-Q92</f>
        <v>-479.70400000000001</v>
      </c>
      <c r="T92" s="434">
        <f>769/2000</f>
        <v>0.38450000000000001</v>
      </c>
      <c r="U92" s="433">
        <f>(578509/1500)-Q92</f>
        <v>-383.32733333333334</v>
      </c>
      <c r="V92" s="435">
        <f>752/1500</f>
        <v>0.5013333333333333</v>
      </c>
      <c r="W92" s="611" t="s">
        <v>467</v>
      </c>
      <c r="X92" s="612" t="s">
        <v>468</v>
      </c>
      <c r="Y92" s="613">
        <f>(189789/2000)-W92</f>
        <v>-62.105500000000006</v>
      </c>
      <c r="Z92" s="614">
        <f>1208/2000</f>
        <v>0.60399999999999998</v>
      </c>
      <c r="AA92" s="613">
        <f>(189789/1500)-W92</f>
        <v>-30.474000000000004</v>
      </c>
      <c r="AB92" s="615">
        <f>1208/1500</f>
        <v>0.80533333333333335</v>
      </c>
      <c r="AC92" s="792" t="s">
        <v>469</v>
      </c>
      <c r="AD92" s="793" t="s">
        <v>470</v>
      </c>
      <c r="AE92" s="794">
        <f>(263509/2000)-AC92</f>
        <v>-110.24549999999999</v>
      </c>
      <c r="AF92" s="795">
        <f>1089/2000</f>
        <v>0.54449999999999998</v>
      </c>
      <c r="AG92" s="794">
        <f>(263509/1500)-AC92</f>
        <v>-66.327333333333343</v>
      </c>
      <c r="AH92" s="959">
        <f>1089/1500</f>
        <v>0.72599999999999998</v>
      </c>
      <c r="AI92" s="915"/>
    </row>
    <row r="93" spans="1:35" ht="30" x14ac:dyDescent="0.25">
      <c r="A93" s="45" t="s">
        <v>471</v>
      </c>
      <c r="B93" s="46" t="s">
        <v>40</v>
      </c>
      <c r="C93" s="46" t="s">
        <v>41</v>
      </c>
      <c r="D93" s="46" t="s">
        <v>472</v>
      </c>
      <c r="E93" s="46"/>
      <c r="F93" s="47" t="s">
        <v>63</v>
      </c>
      <c r="G93" s="48" t="s">
        <v>473</v>
      </c>
      <c r="H93" s="45"/>
      <c r="I93" s="46" t="s">
        <v>83</v>
      </c>
      <c r="J93" s="211"/>
      <c r="K93" s="261" t="s">
        <v>70</v>
      </c>
      <c r="L93" s="262" t="s">
        <v>474</v>
      </c>
      <c r="M93" s="266">
        <f>(1051917/200000)-K93</f>
        <v>2.2595850000000004</v>
      </c>
      <c r="N93" s="267">
        <f>350639/200000</f>
        <v>1.7531950000000001</v>
      </c>
      <c r="O93" s="266">
        <f>(1051917/100000)-K93</f>
        <v>7.5191700000000008</v>
      </c>
      <c r="P93" s="268">
        <f>350639/100000</f>
        <v>3.5063900000000001</v>
      </c>
      <c r="Q93" s="431" t="s">
        <v>57</v>
      </c>
      <c r="R93" s="432" t="s">
        <v>475</v>
      </c>
      <c r="S93" s="442">
        <f>(578592/200000)-Q93</f>
        <v>0.89295999999999998</v>
      </c>
      <c r="T93" s="443">
        <f>289478/200000</f>
        <v>1.44739</v>
      </c>
      <c r="U93" s="442">
        <f>(578592/100000)-Q93</f>
        <v>3.78592</v>
      </c>
      <c r="V93" s="444">
        <f>289476/100000</f>
        <v>2.8947600000000002</v>
      </c>
      <c r="W93" s="641" t="s">
        <v>60</v>
      </c>
      <c r="X93" s="612" t="s">
        <v>61</v>
      </c>
      <c r="Y93" s="627">
        <f>(189789/200000)</f>
        <v>0.94894500000000004</v>
      </c>
      <c r="Z93" s="642" t="s">
        <v>61</v>
      </c>
      <c r="AA93" s="627">
        <f>(189789/100000)-W93</f>
        <v>1.8978900000000001</v>
      </c>
      <c r="AB93" s="643" t="s">
        <v>61</v>
      </c>
      <c r="AC93" s="792" t="s">
        <v>149</v>
      </c>
      <c r="AD93" s="793" t="s">
        <v>150</v>
      </c>
      <c r="AE93" s="806">
        <f>(263509/200000)-AC93</f>
        <v>0.31754499999999997</v>
      </c>
      <c r="AF93" s="807">
        <f>263509/200000</f>
        <v>1.317545</v>
      </c>
      <c r="AG93" s="806">
        <f>(263509/100000)-AC93</f>
        <v>1.6350899999999999</v>
      </c>
      <c r="AH93" s="965">
        <f>263509/100000</f>
        <v>2.6350899999999999</v>
      </c>
      <c r="AI93" s="919" t="s">
        <v>476</v>
      </c>
    </row>
    <row r="94" spans="1:35" ht="39" x14ac:dyDescent="0.25">
      <c r="A94" s="49" t="s">
        <v>477</v>
      </c>
      <c r="B94" s="50" t="s">
        <v>40</v>
      </c>
      <c r="C94" s="50" t="s">
        <v>41</v>
      </c>
      <c r="D94" s="50" t="s">
        <v>478</v>
      </c>
      <c r="E94" s="50" t="s">
        <v>479</v>
      </c>
      <c r="F94" s="51"/>
      <c r="G94" s="52" t="s">
        <v>480</v>
      </c>
      <c r="H94" s="53" t="s">
        <v>169</v>
      </c>
      <c r="I94" s="50" t="s">
        <v>160</v>
      </c>
      <c r="J94" s="210"/>
      <c r="K94" s="250"/>
      <c r="L94" s="251"/>
      <c r="M94" s="252"/>
      <c r="N94" s="253"/>
      <c r="O94" s="252"/>
      <c r="P94" s="254"/>
      <c r="Q94" s="418"/>
      <c r="R94" s="419"/>
      <c r="S94" s="420"/>
      <c r="T94" s="421"/>
      <c r="U94" s="420"/>
      <c r="V94" s="422"/>
      <c r="W94" s="597"/>
      <c r="X94" s="598"/>
      <c r="Y94" s="599"/>
      <c r="Z94" s="600"/>
      <c r="AA94" s="599"/>
      <c r="AB94" s="601"/>
      <c r="AC94" s="781"/>
      <c r="AD94" s="782"/>
      <c r="AE94" s="783"/>
      <c r="AF94" s="784"/>
      <c r="AG94" s="783"/>
      <c r="AH94" s="957"/>
      <c r="AI94" s="920" t="s">
        <v>481</v>
      </c>
    </row>
    <row r="95" spans="1:35" ht="26.25" x14ac:dyDescent="0.25">
      <c r="A95" s="49" t="s">
        <v>482</v>
      </c>
      <c r="B95" s="50" t="s">
        <v>40</v>
      </c>
      <c r="C95" s="50" t="s">
        <v>41</v>
      </c>
      <c r="D95" s="50" t="s">
        <v>478</v>
      </c>
      <c r="E95" s="50" t="s">
        <v>483</v>
      </c>
      <c r="F95" s="51"/>
      <c r="G95" s="52" t="s">
        <v>484</v>
      </c>
      <c r="H95" s="49"/>
      <c r="I95" s="50" t="s">
        <v>83</v>
      </c>
      <c r="J95" s="210"/>
      <c r="K95" s="250"/>
      <c r="L95" s="251"/>
      <c r="M95" s="252"/>
      <c r="N95" s="253"/>
      <c r="O95" s="252"/>
      <c r="P95" s="254"/>
      <c r="Q95" s="418"/>
      <c r="R95" s="419"/>
      <c r="S95" s="420"/>
      <c r="T95" s="421"/>
      <c r="U95" s="420"/>
      <c r="V95" s="422"/>
      <c r="W95" s="597"/>
      <c r="X95" s="598"/>
      <c r="Y95" s="599"/>
      <c r="Z95" s="600"/>
      <c r="AA95" s="599"/>
      <c r="AB95" s="601"/>
      <c r="AC95" s="781"/>
      <c r="AD95" s="782"/>
      <c r="AE95" s="783"/>
      <c r="AF95" s="784"/>
      <c r="AG95" s="783"/>
      <c r="AH95" s="957"/>
      <c r="AI95" s="920" t="s">
        <v>485</v>
      </c>
    </row>
    <row r="96" spans="1:35" ht="26.25" x14ac:dyDescent="0.25">
      <c r="A96" s="49" t="s">
        <v>486</v>
      </c>
      <c r="B96" s="50" t="s">
        <v>40</v>
      </c>
      <c r="C96" s="50" t="s">
        <v>41</v>
      </c>
      <c r="D96" s="50" t="s">
        <v>478</v>
      </c>
      <c r="E96" s="50" t="s">
        <v>487</v>
      </c>
      <c r="F96" s="51"/>
      <c r="G96" s="52" t="s">
        <v>488</v>
      </c>
      <c r="H96" s="49"/>
      <c r="I96" s="50" t="s">
        <v>89</v>
      </c>
      <c r="J96" s="210"/>
      <c r="K96" s="250"/>
      <c r="L96" s="251"/>
      <c r="M96" s="252"/>
      <c r="N96" s="253"/>
      <c r="O96" s="252"/>
      <c r="P96" s="254"/>
      <c r="Q96" s="418"/>
      <c r="R96" s="419"/>
      <c r="S96" s="420"/>
      <c r="T96" s="421"/>
      <c r="U96" s="420"/>
      <c r="V96" s="422"/>
      <c r="W96" s="597"/>
      <c r="X96" s="598"/>
      <c r="Y96" s="599"/>
      <c r="Z96" s="600"/>
      <c r="AA96" s="599"/>
      <c r="AB96" s="601"/>
      <c r="AC96" s="781"/>
      <c r="AD96" s="782"/>
      <c r="AE96" s="783"/>
      <c r="AF96" s="784"/>
      <c r="AG96" s="783"/>
      <c r="AH96" s="957"/>
      <c r="AI96" s="920" t="s">
        <v>481</v>
      </c>
    </row>
    <row r="97" spans="1:35" ht="26.25" x14ac:dyDescent="0.25">
      <c r="A97" s="49" t="s">
        <v>489</v>
      </c>
      <c r="B97" s="50" t="s">
        <v>40</v>
      </c>
      <c r="C97" s="50" t="s">
        <v>41</v>
      </c>
      <c r="D97" s="50" t="s">
        <v>478</v>
      </c>
      <c r="E97" s="50" t="s">
        <v>490</v>
      </c>
      <c r="F97" s="51"/>
      <c r="G97" s="52" t="s">
        <v>491</v>
      </c>
      <c r="H97" s="49"/>
      <c r="I97" s="50" t="s">
        <v>83</v>
      </c>
      <c r="J97" s="210"/>
      <c r="K97" s="250"/>
      <c r="L97" s="251"/>
      <c r="M97" s="252"/>
      <c r="N97" s="253"/>
      <c r="O97" s="252"/>
      <c r="P97" s="254"/>
      <c r="Q97" s="418"/>
      <c r="R97" s="419"/>
      <c r="S97" s="420"/>
      <c r="T97" s="421"/>
      <c r="U97" s="420"/>
      <c r="V97" s="422"/>
      <c r="W97" s="597"/>
      <c r="X97" s="598"/>
      <c r="Y97" s="599"/>
      <c r="Z97" s="600"/>
      <c r="AA97" s="599"/>
      <c r="AB97" s="601"/>
      <c r="AC97" s="781"/>
      <c r="AD97" s="782"/>
      <c r="AE97" s="783"/>
      <c r="AF97" s="784"/>
      <c r="AG97" s="783"/>
      <c r="AH97" s="957"/>
      <c r="AI97" s="920" t="s">
        <v>481</v>
      </c>
    </row>
    <row r="98" spans="1:35" ht="39" x14ac:dyDescent="0.25">
      <c r="A98" s="49" t="s">
        <v>492</v>
      </c>
      <c r="B98" s="50" t="s">
        <v>40</v>
      </c>
      <c r="C98" s="50" t="s">
        <v>41</v>
      </c>
      <c r="D98" s="50" t="s">
        <v>478</v>
      </c>
      <c r="E98" s="50" t="s">
        <v>493</v>
      </c>
      <c r="F98" s="51"/>
      <c r="G98" s="52" t="s">
        <v>493</v>
      </c>
      <c r="H98" s="49"/>
      <c r="I98" s="50" t="s">
        <v>138</v>
      </c>
      <c r="J98" s="210"/>
      <c r="K98" s="250"/>
      <c r="L98" s="251"/>
      <c r="M98" s="252"/>
      <c r="N98" s="253"/>
      <c r="O98" s="252"/>
      <c r="P98" s="254"/>
      <c r="Q98" s="418"/>
      <c r="R98" s="419"/>
      <c r="S98" s="420"/>
      <c r="T98" s="421"/>
      <c r="U98" s="420"/>
      <c r="V98" s="422"/>
      <c r="W98" s="597"/>
      <c r="X98" s="598"/>
      <c r="Y98" s="599"/>
      <c r="Z98" s="600"/>
      <c r="AA98" s="599"/>
      <c r="AB98" s="601"/>
      <c r="AC98" s="781"/>
      <c r="AD98" s="782"/>
      <c r="AE98" s="783"/>
      <c r="AF98" s="784"/>
      <c r="AG98" s="783"/>
      <c r="AH98" s="957"/>
      <c r="AI98" s="920" t="s">
        <v>494</v>
      </c>
    </row>
    <row r="99" spans="1:35" ht="39" x14ac:dyDescent="0.25">
      <c r="A99" s="49" t="s">
        <v>495</v>
      </c>
      <c r="B99" s="50" t="s">
        <v>40</v>
      </c>
      <c r="C99" s="50" t="s">
        <v>41</v>
      </c>
      <c r="D99" s="50" t="s">
        <v>478</v>
      </c>
      <c r="E99" s="50" t="s">
        <v>496</v>
      </c>
      <c r="F99" s="51"/>
      <c r="G99" s="52" t="s">
        <v>497</v>
      </c>
      <c r="H99" s="49"/>
      <c r="I99" s="50" t="s">
        <v>138</v>
      </c>
      <c r="J99" s="210"/>
      <c r="K99" s="250"/>
      <c r="L99" s="251"/>
      <c r="M99" s="252"/>
      <c r="N99" s="253"/>
      <c r="O99" s="252"/>
      <c r="P99" s="254"/>
      <c r="Q99" s="418"/>
      <c r="R99" s="419"/>
      <c r="S99" s="420"/>
      <c r="T99" s="421"/>
      <c r="U99" s="420"/>
      <c r="V99" s="422"/>
      <c r="W99" s="597"/>
      <c r="X99" s="598"/>
      <c r="Y99" s="599"/>
      <c r="Z99" s="600"/>
      <c r="AA99" s="599"/>
      <c r="AB99" s="601"/>
      <c r="AC99" s="781"/>
      <c r="AD99" s="782"/>
      <c r="AE99" s="783"/>
      <c r="AF99" s="784"/>
      <c r="AG99" s="783"/>
      <c r="AH99" s="957"/>
      <c r="AI99" s="920" t="s">
        <v>498</v>
      </c>
    </row>
    <row r="100" spans="1:35" ht="26.25" x14ac:dyDescent="0.25">
      <c r="A100" s="49" t="s">
        <v>499</v>
      </c>
      <c r="B100" s="50" t="s">
        <v>40</v>
      </c>
      <c r="C100" s="50" t="s">
        <v>41</v>
      </c>
      <c r="D100" s="50" t="s">
        <v>478</v>
      </c>
      <c r="E100" s="50" t="s">
        <v>500</v>
      </c>
      <c r="F100" s="51"/>
      <c r="G100" s="52" t="s">
        <v>501</v>
      </c>
      <c r="H100" s="49"/>
      <c r="I100" s="50" t="s">
        <v>83</v>
      </c>
      <c r="J100" s="210"/>
      <c r="K100" s="250"/>
      <c r="L100" s="251"/>
      <c r="M100" s="252"/>
      <c r="N100" s="253"/>
      <c r="O100" s="252"/>
      <c r="P100" s="254"/>
      <c r="Q100" s="418"/>
      <c r="R100" s="419"/>
      <c r="S100" s="420"/>
      <c r="T100" s="421"/>
      <c r="U100" s="420"/>
      <c r="V100" s="422"/>
      <c r="W100" s="597"/>
      <c r="X100" s="598"/>
      <c r="Y100" s="599"/>
      <c r="Z100" s="600"/>
      <c r="AA100" s="599"/>
      <c r="AB100" s="601"/>
      <c r="AC100" s="781"/>
      <c r="AD100" s="782"/>
      <c r="AE100" s="783"/>
      <c r="AF100" s="784"/>
      <c r="AG100" s="783"/>
      <c r="AH100" s="957"/>
      <c r="AI100" s="920" t="s">
        <v>481</v>
      </c>
    </row>
    <row r="101" spans="1:35" ht="60" x14ac:dyDescent="0.25">
      <c r="A101" s="54" t="s">
        <v>502</v>
      </c>
      <c r="B101" s="55" t="s">
        <v>61</v>
      </c>
      <c r="C101" s="55" t="s">
        <v>41</v>
      </c>
      <c r="D101" s="55" t="s">
        <v>478</v>
      </c>
      <c r="E101" s="55" t="s">
        <v>503</v>
      </c>
      <c r="F101" s="56" t="s">
        <v>63</v>
      </c>
      <c r="G101" s="57" t="s">
        <v>504</v>
      </c>
      <c r="H101" s="54"/>
      <c r="I101" s="55"/>
      <c r="J101" s="211"/>
      <c r="K101" s="261" t="s">
        <v>116</v>
      </c>
      <c r="L101" s="282" t="s">
        <v>505</v>
      </c>
      <c r="M101" s="283">
        <f>(1051917/500000)-K101</f>
        <v>-2.896166</v>
      </c>
      <c r="N101" s="284">
        <f>210383/500000</f>
        <v>0.42076599999999997</v>
      </c>
      <c r="O101" s="283">
        <f>(1051917/50000)-K101</f>
        <v>16.038340000000002</v>
      </c>
      <c r="P101" s="285">
        <f>210383/50000</f>
        <v>4.2076599999999997</v>
      </c>
      <c r="Q101" s="431" t="s">
        <v>116</v>
      </c>
      <c r="R101" s="432" t="s">
        <v>154</v>
      </c>
      <c r="S101" s="455">
        <f>(578592/500000)-Q101</f>
        <v>-3.842816</v>
      </c>
      <c r="T101" s="456">
        <f>115718/500000</f>
        <v>0.231436</v>
      </c>
      <c r="U101" s="455">
        <f>(578592/50000)-K101</f>
        <v>6.5718399999999999</v>
      </c>
      <c r="V101" s="457">
        <f>115718/50000</f>
        <v>2.3143600000000002</v>
      </c>
      <c r="W101" s="641" t="s">
        <v>60</v>
      </c>
      <c r="X101" s="612" t="s">
        <v>61</v>
      </c>
      <c r="Y101" s="627">
        <f>189789/500000</f>
        <v>0.37957800000000003</v>
      </c>
      <c r="Z101" s="642" t="s">
        <v>61</v>
      </c>
      <c r="AA101" s="627">
        <f>189789/50000</f>
        <v>3.7957800000000002</v>
      </c>
      <c r="AB101" s="643" t="s">
        <v>61</v>
      </c>
      <c r="AC101" s="816" t="s">
        <v>60</v>
      </c>
      <c r="AD101" s="793" t="s">
        <v>61</v>
      </c>
      <c r="AE101" s="799">
        <f>263509/500000</f>
        <v>0.52701799999999999</v>
      </c>
      <c r="AF101" s="817" t="s">
        <v>61</v>
      </c>
      <c r="AG101" s="799">
        <f>263509/50000</f>
        <v>5.2701799999999999</v>
      </c>
      <c r="AH101" s="968" t="s">
        <v>61</v>
      </c>
      <c r="AI101" s="921"/>
    </row>
    <row r="102" spans="1:35" ht="26.25" x14ac:dyDescent="0.25">
      <c r="A102" s="37" t="s">
        <v>506</v>
      </c>
      <c r="B102" s="38" t="s">
        <v>40</v>
      </c>
      <c r="C102" s="38" t="s">
        <v>41</v>
      </c>
      <c r="D102" s="38" t="s">
        <v>507</v>
      </c>
      <c r="E102" s="38"/>
      <c r="F102" s="39" t="s">
        <v>55</v>
      </c>
      <c r="G102" s="40" t="s">
        <v>508</v>
      </c>
      <c r="H102" s="37"/>
      <c r="I102" s="38"/>
      <c r="J102" s="210"/>
      <c r="K102" s="250" t="s">
        <v>70</v>
      </c>
      <c r="L102" s="251" t="s">
        <v>474</v>
      </c>
      <c r="M102" s="279">
        <f>(1051917/88000)-K102</f>
        <v>8.9536022727272719</v>
      </c>
      <c r="N102" s="280">
        <f>350639/88000</f>
        <v>3.9845340909090909</v>
      </c>
      <c r="O102" s="279">
        <f>(1051917/70000)-K102</f>
        <v>12.027385714285714</v>
      </c>
      <c r="P102" s="281">
        <f>350639/70000</f>
        <v>5.0091285714285716</v>
      </c>
      <c r="Q102" s="458" t="s">
        <v>60</v>
      </c>
      <c r="R102" s="419" t="s">
        <v>61</v>
      </c>
      <c r="S102" s="439">
        <f>(578592/88000)-Q102</f>
        <v>6.5749090909090908</v>
      </c>
      <c r="T102" s="440" t="s">
        <v>61</v>
      </c>
      <c r="U102" s="439">
        <f>(578592/70000)-Q102</f>
        <v>8.2655999999999992</v>
      </c>
      <c r="V102" s="441" t="s">
        <v>61</v>
      </c>
      <c r="W102" s="597" t="s">
        <v>70</v>
      </c>
      <c r="X102" s="598" t="s">
        <v>185</v>
      </c>
      <c r="Y102" s="647">
        <f>(189789/88000)-W102</f>
        <v>-0.84330681818181796</v>
      </c>
      <c r="Z102" s="648">
        <f>63263/88000</f>
        <v>0.71889772727272727</v>
      </c>
      <c r="AA102" s="647">
        <f>(189789/70000)-W102</f>
        <v>-0.28872857142857145</v>
      </c>
      <c r="AB102" s="649">
        <f>63263/70000</f>
        <v>0.90375714285714281</v>
      </c>
      <c r="AC102" s="796" t="s">
        <v>60</v>
      </c>
      <c r="AD102" s="782" t="s">
        <v>61</v>
      </c>
      <c r="AE102" s="804">
        <f>(162509/88000)-AC102</f>
        <v>1.8466931818181818</v>
      </c>
      <c r="AF102" s="805" t="s">
        <v>61</v>
      </c>
      <c r="AG102" s="804">
        <f>(263509/70000)-AC102</f>
        <v>3.7644142857142859</v>
      </c>
      <c r="AH102" s="964" t="s">
        <v>61</v>
      </c>
      <c r="AI102" s="917" t="s">
        <v>509</v>
      </c>
    </row>
    <row r="103" spans="1:35" ht="26.25" x14ac:dyDescent="0.25">
      <c r="A103" s="37" t="s">
        <v>506</v>
      </c>
      <c r="B103" s="38" t="s">
        <v>40</v>
      </c>
      <c r="C103" s="38" t="s">
        <v>41</v>
      </c>
      <c r="D103" s="38" t="s">
        <v>507</v>
      </c>
      <c r="E103" s="38"/>
      <c r="F103" s="39" t="s">
        <v>63</v>
      </c>
      <c r="G103" s="40" t="s">
        <v>508</v>
      </c>
      <c r="H103" s="37"/>
      <c r="I103" s="38"/>
      <c r="J103" s="210"/>
      <c r="K103" s="250" t="s">
        <v>231</v>
      </c>
      <c r="L103" s="251" t="s">
        <v>510</v>
      </c>
      <c r="M103" s="286">
        <f>(1051917/88000)-K103</f>
        <v>-14.046397727272728</v>
      </c>
      <c r="N103" s="287">
        <f>40458/88000</f>
        <v>0.45974999999999999</v>
      </c>
      <c r="O103" s="286">
        <f>(1051917/70000)-K103</f>
        <v>-10.972614285714286</v>
      </c>
      <c r="P103" s="288">
        <f>40458/70000</f>
        <v>0.57797142857142858</v>
      </c>
      <c r="Q103" s="418" t="s">
        <v>511</v>
      </c>
      <c r="R103" s="419" t="s">
        <v>512</v>
      </c>
      <c r="S103" s="428">
        <f>(578592/88000)-Q103</f>
        <v>-12.425090909090908</v>
      </c>
      <c r="T103" s="429">
        <f>30462/88000</f>
        <v>0.34615909090909092</v>
      </c>
      <c r="U103" s="428">
        <f>(578592/70000)-Q103</f>
        <v>-10.734400000000001</v>
      </c>
      <c r="V103" s="430">
        <f>30462/70000</f>
        <v>0.4351714285714286</v>
      </c>
      <c r="W103" s="597" t="s">
        <v>145</v>
      </c>
      <c r="X103" s="598" t="s">
        <v>196</v>
      </c>
      <c r="Y103" s="608">
        <f>(189789/88000)-W103</f>
        <v>-3.843306818181818</v>
      </c>
      <c r="Z103" s="609">
        <f>31631/88000</f>
        <v>0.3594431818181818</v>
      </c>
      <c r="AA103" s="608">
        <f>(189789/70000)-W103</f>
        <v>-3.2887285714285714</v>
      </c>
      <c r="AB103" s="610">
        <f>31631/70000</f>
        <v>0.45187142857142859</v>
      </c>
      <c r="AC103" s="781" t="s">
        <v>149</v>
      </c>
      <c r="AD103" s="782" t="s">
        <v>150</v>
      </c>
      <c r="AE103" s="787">
        <f>(162509/88000)-AC103</f>
        <v>0.84669318181818176</v>
      </c>
      <c r="AF103" s="788">
        <f>263509/88000</f>
        <v>2.9944204545454545</v>
      </c>
      <c r="AG103" s="787">
        <f>(263509/70000)-AC103</f>
        <v>2.7644142857142859</v>
      </c>
      <c r="AH103" s="889">
        <f>263509/70000</f>
        <v>3.7644142857142859</v>
      </c>
      <c r="AI103" s="917"/>
    </row>
    <row r="104" spans="1:35" ht="30" x14ac:dyDescent="0.25">
      <c r="A104" s="41" t="s">
        <v>506</v>
      </c>
      <c r="B104" s="42" t="s">
        <v>40</v>
      </c>
      <c r="C104" s="42" t="s">
        <v>41</v>
      </c>
      <c r="D104" s="42" t="s">
        <v>507</v>
      </c>
      <c r="E104" s="42"/>
      <c r="F104" s="43" t="s">
        <v>72</v>
      </c>
      <c r="G104" s="44" t="s">
        <v>508</v>
      </c>
      <c r="H104" s="41"/>
      <c r="I104" s="42" t="s">
        <v>513</v>
      </c>
      <c r="J104" s="211"/>
      <c r="K104" s="261" t="s">
        <v>514</v>
      </c>
      <c r="L104" s="262" t="s">
        <v>515</v>
      </c>
      <c r="M104" s="263">
        <f>(1051917/88000)-K104</f>
        <v>-17.046397727272726</v>
      </c>
      <c r="N104" s="264">
        <f>36273/88000</f>
        <v>0.41219318181818182</v>
      </c>
      <c r="O104" s="263">
        <f>(1051917/70000)-K104</f>
        <v>-13.972614285714286</v>
      </c>
      <c r="P104" s="265">
        <f>36273/70000</f>
        <v>0.51818571428571425</v>
      </c>
      <c r="Q104" s="431" t="s">
        <v>511</v>
      </c>
      <c r="R104" s="459" t="s">
        <v>512</v>
      </c>
      <c r="S104" s="460">
        <f>(578592/88000)-Q104</f>
        <v>-12.425090909090908</v>
      </c>
      <c r="T104" s="461">
        <f>30462/88000</f>
        <v>0.34615909090909092</v>
      </c>
      <c r="U104" s="460">
        <f>(578592/70000)-Q104</f>
        <v>-10.734400000000001</v>
      </c>
      <c r="V104" s="462">
        <f>30462/70000</f>
        <v>0.4351714285714286</v>
      </c>
      <c r="W104" s="611" t="s">
        <v>324</v>
      </c>
      <c r="X104" s="612" t="s">
        <v>516</v>
      </c>
      <c r="Y104" s="613">
        <f>(189789/88000)-W104</f>
        <v>-6.8433068181818175</v>
      </c>
      <c r="Z104" s="614">
        <f>21087/88000</f>
        <v>0.239625</v>
      </c>
      <c r="AA104" s="613">
        <f>(189789/70000)-W104</f>
        <v>-6.288728571428571</v>
      </c>
      <c r="AB104" s="615">
        <f>21087/70000</f>
        <v>0.30124285714285715</v>
      </c>
      <c r="AC104" s="792" t="s">
        <v>149</v>
      </c>
      <c r="AD104" s="818" t="s">
        <v>150</v>
      </c>
      <c r="AE104" s="801">
        <f>(162509/88000)-AC104</f>
        <v>0.84669318181818176</v>
      </c>
      <c r="AF104" s="800">
        <f>263509/88000</f>
        <v>2.9944204545454545</v>
      </c>
      <c r="AG104" s="801">
        <f>(263509/70000)-AC104</f>
        <v>2.7644142857142859</v>
      </c>
      <c r="AH104" s="962">
        <f>263509/70000</f>
        <v>3.7644142857142859</v>
      </c>
      <c r="AI104" s="918"/>
    </row>
    <row r="105" spans="1:35" ht="45" x14ac:dyDescent="0.25">
      <c r="A105" s="58" t="s">
        <v>517</v>
      </c>
      <c r="B105" s="59" t="s">
        <v>40</v>
      </c>
      <c r="C105" s="59" t="s">
        <v>41</v>
      </c>
      <c r="D105" s="59" t="s">
        <v>518</v>
      </c>
      <c r="E105" s="59"/>
      <c r="F105" s="60" t="s">
        <v>55</v>
      </c>
      <c r="G105" s="61" t="s">
        <v>519</v>
      </c>
      <c r="H105" s="58"/>
      <c r="I105" s="59" t="s">
        <v>191</v>
      </c>
      <c r="J105" s="211"/>
      <c r="K105" s="261" t="s">
        <v>149</v>
      </c>
      <c r="L105" s="262" t="s">
        <v>344</v>
      </c>
      <c r="M105" s="266">
        <f>(1051917/30000)-K105</f>
        <v>34.063899999999997</v>
      </c>
      <c r="N105" s="267">
        <f>1051917/30000</f>
        <v>35.063899999999997</v>
      </c>
      <c r="O105" s="266">
        <f>(1051917/20000)-K105</f>
        <v>51.595849999999999</v>
      </c>
      <c r="P105" s="268">
        <f>1051917/20000</f>
        <v>52.595849999999999</v>
      </c>
      <c r="Q105" s="431" t="s">
        <v>149</v>
      </c>
      <c r="R105" s="432" t="s">
        <v>520</v>
      </c>
      <c r="S105" s="442">
        <f>(578592/30000)-Q105</f>
        <v>18.2864</v>
      </c>
      <c r="T105" s="443">
        <f>578592/30000</f>
        <v>19.2864</v>
      </c>
      <c r="U105" s="442">
        <f>(578592/20000)-Q105</f>
        <v>27.929600000000001</v>
      </c>
      <c r="V105" s="444">
        <f>578592/20000</f>
        <v>28.929600000000001</v>
      </c>
      <c r="W105" s="641" t="s">
        <v>60</v>
      </c>
      <c r="X105" s="612" t="s">
        <v>61</v>
      </c>
      <c r="Y105" s="627">
        <f>(189789/30000)-W105</f>
        <v>6.3262999999999998</v>
      </c>
      <c r="Z105" s="642" t="s">
        <v>61</v>
      </c>
      <c r="AA105" s="627">
        <f>(189789/20000)-W105</f>
        <v>9.4894499999999997</v>
      </c>
      <c r="AB105" s="643" t="s">
        <v>61</v>
      </c>
      <c r="AC105" s="816" t="s">
        <v>60</v>
      </c>
      <c r="AD105" s="793" t="s">
        <v>61</v>
      </c>
      <c r="AE105" s="799">
        <f>(263509/30000)-AC105</f>
        <v>8.7836333333333325</v>
      </c>
      <c r="AF105" s="817" t="s">
        <v>61</v>
      </c>
      <c r="AG105" s="799">
        <f>(263509/20000)-AC105</f>
        <v>13.17545</v>
      </c>
      <c r="AH105" s="968" t="s">
        <v>61</v>
      </c>
      <c r="AI105" s="922" t="s">
        <v>521</v>
      </c>
    </row>
    <row r="106" spans="1:35" ht="39" x14ac:dyDescent="0.25">
      <c r="A106" s="32" t="s">
        <v>522</v>
      </c>
      <c r="B106" s="33" t="s">
        <v>40</v>
      </c>
      <c r="C106" s="33" t="s">
        <v>41</v>
      </c>
      <c r="D106" s="33" t="s">
        <v>523</v>
      </c>
      <c r="E106" s="33"/>
      <c r="F106" s="34"/>
      <c r="G106" s="35" t="s">
        <v>524</v>
      </c>
      <c r="H106" s="32"/>
      <c r="I106" s="33" t="s">
        <v>191</v>
      </c>
      <c r="J106" s="210"/>
      <c r="K106" s="250"/>
      <c r="L106" s="251"/>
      <c r="M106" s="252"/>
      <c r="N106" s="253"/>
      <c r="O106" s="252"/>
      <c r="P106" s="254"/>
      <c r="Q106" s="418"/>
      <c r="R106" s="419"/>
      <c r="S106" s="420"/>
      <c r="T106" s="421"/>
      <c r="U106" s="420"/>
      <c r="V106" s="422"/>
      <c r="W106" s="597"/>
      <c r="X106" s="598"/>
      <c r="Y106" s="599"/>
      <c r="Z106" s="600"/>
      <c r="AA106" s="599"/>
      <c r="AB106" s="601"/>
      <c r="AC106" s="781"/>
      <c r="AD106" s="782"/>
      <c r="AE106" s="783"/>
      <c r="AF106" s="784"/>
      <c r="AG106" s="783"/>
      <c r="AH106" s="957"/>
      <c r="AI106" s="916" t="s">
        <v>525</v>
      </c>
    </row>
    <row r="107" spans="1:35" ht="39" x14ac:dyDescent="0.25">
      <c r="A107" s="18" t="s">
        <v>526</v>
      </c>
      <c r="B107" s="19" t="s">
        <v>40</v>
      </c>
      <c r="C107" s="19" t="s">
        <v>41</v>
      </c>
      <c r="D107" s="19" t="s">
        <v>527</v>
      </c>
      <c r="E107" s="19" t="s">
        <v>528</v>
      </c>
      <c r="F107" s="20"/>
      <c r="G107" s="21" t="s">
        <v>529</v>
      </c>
      <c r="H107" s="22" t="s">
        <v>99</v>
      </c>
      <c r="I107" s="19" t="s">
        <v>73</v>
      </c>
      <c r="J107" s="210"/>
      <c r="K107" s="250"/>
      <c r="L107" s="251"/>
      <c r="M107" s="252"/>
      <c r="N107" s="253"/>
      <c r="O107" s="252"/>
      <c r="P107" s="254"/>
      <c r="Q107" s="418"/>
      <c r="R107" s="419"/>
      <c r="S107" s="420"/>
      <c r="T107" s="421"/>
      <c r="U107" s="420"/>
      <c r="V107" s="422"/>
      <c r="W107" s="597"/>
      <c r="X107" s="598"/>
      <c r="Y107" s="599"/>
      <c r="Z107" s="600"/>
      <c r="AA107" s="599"/>
      <c r="AB107" s="601"/>
      <c r="AC107" s="781"/>
      <c r="AD107" s="782"/>
      <c r="AE107" s="783"/>
      <c r="AF107" s="784"/>
      <c r="AG107" s="783"/>
      <c r="AH107" s="957"/>
      <c r="AI107" s="913" t="s">
        <v>530</v>
      </c>
    </row>
    <row r="108" spans="1:35" ht="26.25" x14ac:dyDescent="0.25">
      <c r="A108" s="18" t="s">
        <v>531</v>
      </c>
      <c r="B108" s="19" t="s">
        <v>40</v>
      </c>
      <c r="C108" s="19" t="s">
        <v>41</v>
      </c>
      <c r="D108" s="19" t="s">
        <v>527</v>
      </c>
      <c r="E108" s="19" t="s">
        <v>532</v>
      </c>
      <c r="F108" s="20"/>
      <c r="G108" s="21" t="s">
        <v>533</v>
      </c>
      <c r="H108" s="18"/>
      <c r="I108" s="19" t="s">
        <v>89</v>
      </c>
      <c r="J108" s="210"/>
      <c r="K108" s="250"/>
      <c r="L108" s="251"/>
      <c r="M108" s="252"/>
      <c r="N108" s="253"/>
      <c r="O108" s="252"/>
      <c r="P108" s="254"/>
      <c r="Q108" s="418"/>
      <c r="R108" s="419"/>
      <c r="S108" s="420"/>
      <c r="T108" s="421"/>
      <c r="U108" s="420"/>
      <c r="V108" s="422"/>
      <c r="W108" s="597"/>
      <c r="X108" s="598"/>
      <c r="Y108" s="599"/>
      <c r="Z108" s="600"/>
      <c r="AA108" s="599"/>
      <c r="AB108" s="601"/>
      <c r="AC108" s="781"/>
      <c r="AD108" s="782"/>
      <c r="AE108" s="783"/>
      <c r="AF108" s="784"/>
      <c r="AG108" s="783"/>
      <c r="AH108" s="957"/>
      <c r="AI108" s="913" t="s">
        <v>530</v>
      </c>
    </row>
    <row r="109" spans="1:35" ht="26.25" x14ac:dyDescent="0.25">
      <c r="A109" s="18" t="s">
        <v>534</v>
      </c>
      <c r="B109" s="19" t="s">
        <v>40</v>
      </c>
      <c r="C109" s="19" t="s">
        <v>41</v>
      </c>
      <c r="D109" s="19" t="s">
        <v>527</v>
      </c>
      <c r="E109" s="19" t="s">
        <v>535</v>
      </c>
      <c r="F109" s="20"/>
      <c r="G109" s="21" t="s">
        <v>536</v>
      </c>
      <c r="H109" s="18"/>
      <c r="I109" s="19" t="s">
        <v>89</v>
      </c>
      <c r="J109" s="210"/>
      <c r="K109" s="250"/>
      <c r="L109" s="251"/>
      <c r="M109" s="252"/>
      <c r="N109" s="253"/>
      <c r="O109" s="252"/>
      <c r="P109" s="254"/>
      <c r="Q109" s="418"/>
      <c r="R109" s="419"/>
      <c r="S109" s="420"/>
      <c r="T109" s="421"/>
      <c r="U109" s="420"/>
      <c r="V109" s="422"/>
      <c r="W109" s="597"/>
      <c r="X109" s="598"/>
      <c r="Y109" s="599"/>
      <c r="Z109" s="600"/>
      <c r="AA109" s="599"/>
      <c r="AB109" s="601"/>
      <c r="AC109" s="781"/>
      <c r="AD109" s="782"/>
      <c r="AE109" s="783"/>
      <c r="AF109" s="784"/>
      <c r="AG109" s="783"/>
      <c r="AH109" s="957"/>
      <c r="AI109" s="913" t="s">
        <v>530</v>
      </c>
    </row>
    <row r="110" spans="1:35" ht="30" x14ac:dyDescent="0.25">
      <c r="A110" s="62" t="s">
        <v>537</v>
      </c>
      <c r="B110" s="63" t="s">
        <v>40</v>
      </c>
      <c r="C110" s="63" t="s">
        <v>41</v>
      </c>
      <c r="D110" s="63" t="s">
        <v>527</v>
      </c>
      <c r="E110" s="63"/>
      <c r="F110" s="64" t="s">
        <v>63</v>
      </c>
      <c r="G110" s="65" t="s">
        <v>538</v>
      </c>
      <c r="H110" s="62"/>
      <c r="I110" s="63" t="s">
        <v>539</v>
      </c>
      <c r="J110" s="211"/>
      <c r="K110" s="261" t="s">
        <v>66</v>
      </c>
      <c r="L110" s="262" t="s">
        <v>330</v>
      </c>
      <c r="M110" s="263">
        <f>(1051917/300000)-K110</f>
        <v>-7.4936100000000003</v>
      </c>
      <c r="N110" s="264">
        <f>95628/300000</f>
        <v>0.31875999999999999</v>
      </c>
      <c r="O110" s="263">
        <f>(1051917/250000)-K110</f>
        <v>-6.792332</v>
      </c>
      <c r="P110" s="265">
        <f>95628/250000</f>
        <v>0.38251200000000002</v>
      </c>
      <c r="Q110" s="431" t="s">
        <v>324</v>
      </c>
      <c r="R110" s="432" t="s">
        <v>540</v>
      </c>
      <c r="S110" s="433">
        <f>(578592/300000)-Q110</f>
        <v>-7.0713600000000003</v>
      </c>
      <c r="T110" s="434">
        <f>64328/300000</f>
        <v>0.21442666666666665</v>
      </c>
      <c r="U110" s="433">
        <f>(578592/250000)-Q110</f>
        <v>-6.685632</v>
      </c>
      <c r="V110" s="435">
        <f>64328/250000</f>
        <v>0.25731199999999999</v>
      </c>
      <c r="W110" s="611" t="s">
        <v>57</v>
      </c>
      <c r="X110" s="612" t="s">
        <v>148</v>
      </c>
      <c r="Y110" s="613">
        <f>(189789/300000)-W110</f>
        <v>-1.36737</v>
      </c>
      <c r="Z110" s="614">
        <f>94894/300000</f>
        <v>0.31631333333333334</v>
      </c>
      <c r="AA110" s="613">
        <f>(189789/250000)-W110</f>
        <v>-1.2408440000000001</v>
      </c>
      <c r="AB110" s="615">
        <f>94894/250000</f>
        <v>0.37957600000000002</v>
      </c>
      <c r="AC110" s="816" t="s">
        <v>60</v>
      </c>
      <c r="AD110" s="793" t="s">
        <v>61</v>
      </c>
      <c r="AE110" s="799">
        <f>263509/300000</f>
        <v>0.87836333333333338</v>
      </c>
      <c r="AF110" s="817" t="s">
        <v>61</v>
      </c>
      <c r="AG110" s="799">
        <f>263509/250000</f>
        <v>1.054036</v>
      </c>
      <c r="AH110" s="968" t="s">
        <v>61</v>
      </c>
      <c r="AI110" s="923" t="s">
        <v>541</v>
      </c>
    </row>
    <row r="111" spans="1:35" ht="26.25" x14ac:dyDescent="0.25">
      <c r="A111" s="18" t="s">
        <v>542</v>
      </c>
      <c r="B111" s="19" t="s">
        <v>40</v>
      </c>
      <c r="C111" s="19" t="s">
        <v>41</v>
      </c>
      <c r="D111" s="19" t="s">
        <v>543</v>
      </c>
      <c r="E111" s="19" t="s">
        <v>544</v>
      </c>
      <c r="F111" s="20"/>
      <c r="G111" s="21" t="s">
        <v>545</v>
      </c>
      <c r="H111" s="18"/>
      <c r="I111" s="19" t="s">
        <v>73</v>
      </c>
      <c r="J111" s="210"/>
      <c r="K111" s="250"/>
      <c r="L111" s="251"/>
      <c r="M111" s="252"/>
      <c r="N111" s="253"/>
      <c r="O111" s="252"/>
      <c r="P111" s="254"/>
      <c r="Q111" s="418"/>
      <c r="R111" s="419"/>
      <c r="S111" s="420"/>
      <c r="T111" s="421"/>
      <c r="U111" s="420"/>
      <c r="V111" s="422"/>
      <c r="W111" s="597"/>
      <c r="X111" s="598"/>
      <c r="Y111" s="599"/>
      <c r="Z111" s="600"/>
      <c r="AA111" s="599"/>
      <c r="AB111" s="601"/>
      <c r="AC111" s="781"/>
      <c r="AD111" s="782"/>
      <c r="AE111" s="783"/>
      <c r="AF111" s="784"/>
      <c r="AG111" s="783"/>
      <c r="AH111" s="957"/>
      <c r="AI111" s="913" t="s">
        <v>546</v>
      </c>
    </row>
    <row r="112" spans="1:35" ht="39" x14ac:dyDescent="0.25">
      <c r="A112" s="18" t="s">
        <v>547</v>
      </c>
      <c r="B112" s="19" t="s">
        <v>40</v>
      </c>
      <c r="C112" s="19" t="s">
        <v>41</v>
      </c>
      <c r="D112" s="19" t="s">
        <v>543</v>
      </c>
      <c r="E112" s="19" t="s">
        <v>86</v>
      </c>
      <c r="F112" s="20"/>
      <c r="G112" s="21" t="s">
        <v>548</v>
      </c>
      <c r="H112" s="18"/>
      <c r="I112" s="19" t="s">
        <v>138</v>
      </c>
      <c r="J112" s="210"/>
      <c r="K112" s="250"/>
      <c r="L112" s="251"/>
      <c r="M112" s="252"/>
      <c r="N112" s="253"/>
      <c r="O112" s="252"/>
      <c r="P112" s="254"/>
      <c r="Q112" s="418"/>
      <c r="R112" s="419"/>
      <c r="S112" s="420"/>
      <c r="T112" s="421"/>
      <c r="U112" s="420"/>
      <c r="V112" s="422"/>
      <c r="W112" s="597"/>
      <c r="X112" s="598"/>
      <c r="Y112" s="599"/>
      <c r="Z112" s="600"/>
      <c r="AA112" s="599"/>
      <c r="AB112" s="601"/>
      <c r="AC112" s="781"/>
      <c r="AD112" s="782"/>
      <c r="AE112" s="783"/>
      <c r="AF112" s="784"/>
      <c r="AG112" s="783"/>
      <c r="AH112" s="957"/>
      <c r="AI112" s="913" t="s">
        <v>549</v>
      </c>
    </row>
    <row r="113" spans="1:35" ht="26.25" x14ac:dyDescent="0.25">
      <c r="A113" s="18" t="s">
        <v>550</v>
      </c>
      <c r="B113" s="19" t="s">
        <v>40</v>
      </c>
      <c r="C113" s="19" t="s">
        <v>41</v>
      </c>
      <c r="D113" s="19" t="s">
        <v>543</v>
      </c>
      <c r="E113" s="19" t="s">
        <v>551</v>
      </c>
      <c r="F113" s="20"/>
      <c r="G113" s="21" t="s">
        <v>552</v>
      </c>
      <c r="H113" s="18"/>
      <c r="I113" s="19" t="s">
        <v>83</v>
      </c>
      <c r="J113" s="210"/>
      <c r="K113" s="250"/>
      <c r="L113" s="251"/>
      <c r="M113" s="252"/>
      <c r="N113" s="253"/>
      <c r="O113" s="252"/>
      <c r="P113" s="254"/>
      <c r="Q113" s="418"/>
      <c r="R113" s="419"/>
      <c r="S113" s="420"/>
      <c r="T113" s="421"/>
      <c r="U113" s="420"/>
      <c r="V113" s="422"/>
      <c r="W113" s="597"/>
      <c r="X113" s="598"/>
      <c r="Y113" s="599"/>
      <c r="Z113" s="600"/>
      <c r="AA113" s="599"/>
      <c r="AB113" s="601"/>
      <c r="AC113" s="781"/>
      <c r="AD113" s="782"/>
      <c r="AE113" s="783"/>
      <c r="AF113" s="784"/>
      <c r="AG113" s="783"/>
      <c r="AH113" s="957"/>
      <c r="AI113" s="913" t="s">
        <v>549</v>
      </c>
    </row>
    <row r="114" spans="1:35" ht="26.25" x14ac:dyDescent="0.25">
      <c r="A114" s="18" t="s">
        <v>553</v>
      </c>
      <c r="B114" s="19" t="s">
        <v>40</v>
      </c>
      <c r="C114" s="19" t="s">
        <v>41</v>
      </c>
      <c r="D114" s="19" t="s">
        <v>543</v>
      </c>
      <c r="E114" s="19" t="s">
        <v>554</v>
      </c>
      <c r="F114" s="20"/>
      <c r="G114" s="21" t="s">
        <v>555</v>
      </c>
      <c r="H114" s="18"/>
      <c r="I114" s="19" t="s">
        <v>556</v>
      </c>
      <c r="J114" s="210"/>
      <c r="K114" s="250"/>
      <c r="L114" s="251"/>
      <c r="M114" s="252"/>
      <c r="N114" s="253"/>
      <c r="O114" s="252"/>
      <c r="P114" s="254"/>
      <c r="Q114" s="418"/>
      <c r="R114" s="419"/>
      <c r="S114" s="420"/>
      <c r="T114" s="421"/>
      <c r="U114" s="420"/>
      <c r="V114" s="422"/>
      <c r="W114" s="597"/>
      <c r="X114" s="598"/>
      <c r="Y114" s="599"/>
      <c r="Z114" s="600"/>
      <c r="AA114" s="599"/>
      <c r="AB114" s="601"/>
      <c r="AC114" s="781"/>
      <c r="AD114" s="782"/>
      <c r="AE114" s="783"/>
      <c r="AF114" s="784"/>
      <c r="AG114" s="783"/>
      <c r="AH114" s="957"/>
      <c r="AI114" s="913" t="s">
        <v>47</v>
      </c>
    </row>
    <row r="115" spans="1:35" ht="39" x14ac:dyDescent="0.25">
      <c r="A115" s="18" t="s">
        <v>557</v>
      </c>
      <c r="B115" s="19" t="s">
        <v>40</v>
      </c>
      <c r="C115" s="19" t="s">
        <v>41</v>
      </c>
      <c r="D115" s="19" t="s">
        <v>543</v>
      </c>
      <c r="E115" s="19" t="s">
        <v>92</v>
      </c>
      <c r="F115" s="20"/>
      <c r="G115" s="21" t="s">
        <v>558</v>
      </c>
      <c r="H115" s="22" t="s">
        <v>206</v>
      </c>
      <c r="I115" s="19" t="s">
        <v>109</v>
      </c>
      <c r="J115" s="210"/>
      <c r="K115" s="250"/>
      <c r="L115" s="251"/>
      <c r="M115" s="252"/>
      <c r="N115" s="253"/>
      <c r="O115" s="252"/>
      <c r="P115" s="254"/>
      <c r="Q115" s="418"/>
      <c r="R115" s="419"/>
      <c r="S115" s="420"/>
      <c r="T115" s="421"/>
      <c r="U115" s="420"/>
      <c r="V115" s="422"/>
      <c r="W115" s="597"/>
      <c r="X115" s="598"/>
      <c r="Y115" s="599"/>
      <c r="Z115" s="600"/>
      <c r="AA115" s="599"/>
      <c r="AB115" s="601"/>
      <c r="AC115" s="781"/>
      <c r="AD115" s="782"/>
      <c r="AE115" s="783"/>
      <c r="AF115" s="784"/>
      <c r="AG115" s="783"/>
      <c r="AH115" s="957"/>
      <c r="AI115" s="913" t="s">
        <v>95</v>
      </c>
    </row>
    <row r="116" spans="1:35" ht="26.25" x14ac:dyDescent="0.25">
      <c r="A116" s="18" t="s">
        <v>559</v>
      </c>
      <c r="B116" s="19" t="s">
        <v>40</v>
      </c>
      <c r="C116" s="19" t="s">
        <v>41</v>
      </c>
      <c r="D116" s="19" t="s">
        <v>543</v>
      </c>
      <c r="E116" s="19" t="s">
        <v>560</v>
      </c>
      <c r="F116" s="20"/>
      <c r="G116" s="21" t="s">
        <v>561</v>
      </c>
      <c r="H116" s="18"/>
      <c r="I116" s="19" t="s">
        <v>89</v>
      </c>
      <c r="J116" s="210"/>
      <c r="K116" s="250"/>
      <c r="L116" s="251"/>
      <c r="M116" s="252"/>
      <c r="N116" s="253"/>
      <c r="O116" s="252"/>
      <c r="P116" s="254"/>
      <c r="Q116" s="418"/>
      <c r="R116" s="419"/>
      <c r="S116" s="420"/>
      <c r="T116" s="421"/>
      <c r="U116" s="420"/>
      <c r="V116" s="422"/>
      <c r="W116" s="597"/>
      <c r="X116" s="598"/>
      <c r="Y116" s="599"/>
      <c r="Z116" s="600"/>
      <c r="AA116" s="599"/>
      <c r="AB116" s="601"/>
      <c r="AC116" s="781"/>
      <c r="AD116" s="782"/>
      <c r="AE116" s="783"/>
      <c r="AF116" s="784"/>
      <c r="AG116" s="783"/>
      <c r="AH116" s="957"/>
      <c r="AI116" s="913" t="s">
        <v>549</v>
      </c>
    </row>
    <row r="117" spans="1:35" ht="39" x14ac:dyDescent="0.25">
      <c r="A117" s="18" t="s">
        <v>562</v>
      </c>
      <c r="B117" s="19" t="s">
        <v>40</v>
      </c>
      <c r="C117" s="19" t="s">
        <v>41</v>
      </c>
      <c r="D117" s="19" t="s">
        <v>543</v>
      </c>
      <c r="E117" s="19" t="s">
        <v>274</v>
      </c>
      <c r="F117" s="20"/>
      <c r="G117" s="21" t="s">
        <v>563</v>
      </c>
      <c r="H117" s="22" t="s">
        <v>564</v>
      </c>
      <c r="I117" s="19" t="s">
        <v>109</v>
      </c>
      <c r="J117" s="210"/>
      <c r="K117" s="250"/>
      <c r="L117" s="251"/>
      <c r="M117" s="252"/>
      <c r="N117" s="253"/>
      <c r="O117" s="252"/>
      <c r="P117" s="254"/>
      <c r="Q117" s="418"/>
      <c r="R117" s="419"/>
      <c r="S117" s="420"/>
      <c r="T117" s="421"/>
      <c r="U117" s="420"/>
      <c r="V117" s="422"/>
      <c r="W117" s="597"/>
      <c r="X117" s="598"/>
      <c r="Y117" s="599"/>
      <c r="Z117" s="600"/>
      <c r="AA117" s="599"/>
      <c r="AB117" s="601"/>
      <c r="AC117" s="781"/>
      <c r="AD117" s="782"/>
      <c r="AE117" s="783"/>
      <c r="AF117" s="784"/>
      <c r="AG117" s="783"/>
      <c r="AH117" s="957"/>
      <c r="AI117" s="913" t="s">
        <v>277</v>
      </c>
    </row>
    <row r="118" spans="1:35" ht="26.25" x14ac:dyDescent="0.25">
      <c r="A118" s="18" t="s">
        <v>565</v>
      </c>
      <c r="B118" s="19" t="s">
        <v>40</v>
      </c>
      <c r="C118" s="19" t="s">
        <v>41</v>
      </c>
      <c r="D118" s="19" t="s">
        <v>543</v>
      </c>
      <c r="E118" s="19" t="s">
        <v>566</v>
      </c>
      <c r="F118" s="20"/>
      <c r="G118" s="21" t="s">
        <v>567</v>
      </c>
      <c r="H118" s="22" t="s">
        <v>568</v>
      </c>
      <c r="I118" s="19" t="s">
        <v>73</v>
      </c>
      <c r="J118" s="210"/>
      <c r="K118" s="250"/>
      <c r="L118" s="251"/>
      <c r="M118" s="252"/>
      <c r="N118" s="253"/>
      <c r="O118" s="252"/>
      <c r="P118" s="254"/>
      <c r="Q118" s="418"/>
      <c r="R118" s="419"/>
      <c r="S118" s="420"/>
      <c r="T118" s="421"/>
      <c r="U118" s="420"/>
      <c r="V118" s="422"/>
      <c r="W118" s="597"/>
      <c r="X118" s="598"/>
      <c r="Y118" s="599"/>
      <c r="Z118" s="600"/>
      <c r="AA118" s="599"/>
      <c r="AB118" s="601"/>
      <c r="AC118" s="781"/>
      <c r="AD118" s="782"/>
      <c r="AE118" s="783"/>
      <c r="AF118" s="784"/>
      <c r="AG118" s="783"/>
      <c r="AH118" s="957"/>
      <c r="AI118" s="913" t="s">
        <v>47</v>
      </c>
    </row>
    <row r="119" spans="1:35" ht="26.25" x14ac:dyDescent="0.25">
      <c r="A119" s="18" t="s">
        <v>569</v>
      </c>
      <c r="B119" s="19" t="s">
        <v>40</v>
      </c>
      <c r="C119" s="19" t="s">
        <v>41</v>
      </c>
      <c r="D119" s="19" t="s">
        <v>543</v>
      </c>
      <c r="E119" s="19" t="s">
        <v>570</v>
      </c>
      <c r="F119" s="20"/>
      <c r="G119" s="21" t="s">
        <v>571</v>
      </c>
      <c r="H119" s="18"/>
      <c r="I119" s="19" t="s">
        <v>83</v>
      </c>
      <c r="J119" s="210"/>
      <c r="K119" s="250"/>
      <c r="L119" s="251"/>
      <c r="M119" s="252"/>
      <c r="N119" s="253"/>
      <c r="O119" s="252"/>
      <c r="P119" s="254"/>
      <c r="Q119" s="418"/>
      <c r="R119" s="419"/>
      <c r="S119" s="420"/>
      <c r="T119" s="421"/>
      <c r="U119" s="420"/>
      <c r="V119" s="422"/>
      <c r="W119" s="597"/>
      <c r="X119" s="598"/>
      <c r="Y119" s="599"/>
      <c r="Z119" s="600"/>
      <c r="AA119" s="599"/>
      <c r="AB119" s="601"/>
      <c r="AC119" s="781"/>
      <c r="AD119" s="782"/>
      <c r="AE119" s="783"/>
      <c r="AF119" s="784"/>
      <c r="AG119" s="783"/>
      <c r="AH119" s="957"/>
      <c r="AI119" s="913" t="s">
        <v>549</v>
      </c>
    </row>
    <row r="120" spans="1:35" ht="51.75" x14ac:dyDescent="0.25">
      <c r="A120" s="18" t="s">
        <v>572</v>
      </c>
      <c r="B120" s="19" t="s">
        <v>40</v>
      </c>
      <c r="C120" s="19" t="s">
        <v>41</v>
      </c>
      <c r="D120" s="19" t="s">
        <v>543</v>
      </c>
      <c r="E120" s="19" t="s">
        <v>573</v>
      </c>
      <c r="F120" s="20"/>
      <c r="G120" s="21" t="s">
        <v>574</v>
      </c>
      <c r="H120" s="18"/>
      <c r="I120" s="19" t="s">
        <v>73</v>
      </c>
      <c r="J120" s="210"/>
      <c r="K120" s="250"/>
      <c r="L120" s="251"/>
      <c r="M120" s="252"/>
      <c r="N120" s="253"/>
      <c r="O120" s="252"/>
      <c r="P120" s="254"/>
      <c r="Q120" s="418"/>
      <c r="R120" s="419"/>
      <c r="S120" s="420"/>
      <c r="T120" s="421"/>
      <c r="U120" s="420"/>
      <c r="V120" s="422"/>
      <c r="W120" s="597"/>
      <c r="X120" s="598"/>
      <c r="Y120" s="599"/>
      <c r="Z120" s="600"/>
      <c r="AA120" s="599"/>
      <c r="AB120" s="601"/>
      <c r="AC120" s="781"/>
      <c r="AD120" s="782"/>
      <c r="AE120" s="783"/>
      <c r="AF120" s="784"/>
      <c r="AG120" s="783"/>
      <c r="AH120" s="957"/>
      <c r="AI120" s="913" t="s">
        <v>575</v>
      </c>
    </row>
    <row r="121" spans="1:35" ht="26.25" x14ac:dyDescent="0.25">
      <c r="A121" s="66" t="s">
        <v>576</v>
      </c>
      <c r="B121" s="67" t="s">
        <v>40</v>
      </c>
      <c r="C121" s="67" t="s">
        <v>41</v>
      </c>
      <c r="D121" s="67" t="s">
        <v>543</v>
      </c>
      <c r="E121" s="67"/>
      <c r="F121" s="25" t="s">
        <v>55</v>
      </c>
      <c r="G121" s="68" t="s">
        <v>577</v>
      </c>
      <c r="H121" s="66"/>
      <c r="I121" s="69"/>
      <c r="J121" s="214"/>
      <c r="K121" s="289">
        <v>41</v>
      </c>
      <c r="L121" s="290" t="s">
        <v>578</v>
      </c>
      <c r="M121" s="291"/>
      <c r="N121" s="256">
        <f>25656/2000</f>
        <v>12.827999999999999</v>
      </c>
      <c r="O121" s="255">
        <f>(1051917/2000)-K121</f>
        <v>484.95849999999996</v>
      </c>
      <c r="P121" s="292"/>
      <c r="Q121" s="423">
        <v>25</v>
      </c>
      <c r="R121" s="424" t="s">
        <v>579</v>
      </c>
      <c r="S121" s="463"/>
      <c r="T121" s="426">
        <f>23143/2000</f>
        <v>11.5715</v>
      </c>
      <c r="U121" s="425">
        <f>(578509/2000)-Q121</f>
        <v>264.25450000000001</v>
      </c>
      <c r="V121" s="464"/>
      <c r="W121" s="607">
        <v>3</v>
      </c>
      <c r="X121" s="603" t="s">
        <v>185</v>
      </c>
      <c r="Y121" s="650"/>
      <c r="Z121" s="605">
        <f>63263/2000</f>
        <v>31.631499999999999</v>
      </c>
      <c r="AA121" s="604">
        <f>(189789/2000)-W121</f>
        <v>91.894499999999994</v>
      </c>
      <c r="AB121" s="651"/>
      <c r="AC121" s="789">
        <v>13</v>
      </c>
      <c r="AD121" s="786" t="s">
        <v>580</v>
      </c>
      <c r="AE121" s="819"/>
      <c r="AF121" s="788">
        <f>20275/2000</f>
        <v>10.137499999999999</v>
      </c>
      <c r="AG121" s="787">
        <f>(263509/2000)-AC121</f>
        <v>118.75450000000001</v>
      </c>
      <c r="AH121" s="969"/>
      <c r="AI121" s="924" t="s">
        <v>549</v>
      </c>
    </row>
    <row r="122" spans="1:35" ht="26.25" x14ac:dyDescent="0.25">
      <c r="A122" s="66" t="s">
        <v>576</v>
      </c>
      <c r="B122" s="67" t="s">
        <v>40</v>
      </c>
      <c r="C122" s="67" t="s">
        <v>41</v>
      </c>
      <c r="D122" s="67" t="s">
        <v>543</v>
      </c>
      <c r="E122" s="67"/>
      <c r="F122" s="25" t="s">
        <v>63</v>
      </c>
      <c r="G122" s="68" t="s">
        <v>577</v>
      </c>
      <c r="H122" s="66"/>
      <c r="I122" s="69"/>
      <c r="J122" s="214"/>
      <c r="K122" s="289" t="s">
        <v>451</v>
      </c>
      <c r="L122" s="290" t="s">
        <v>581</v>
      </c>
      <c r="M122" s="291"/>
      <c r="N122" s="256">
        <f>5748/2000</f>
        <v>2.8740000000000001</v>
      </c>
      <c r="O122" s="255">
        <f>(1051917/2000)-K122</f>
        <v>342.95849999999996</v>
      </c>
      <c r="P122" s="292"/>
      <c r="Q122" s="423" t="s">
        <v>582</v>
      </c>
      <c r="R122" s="424" t="s">
        <v>583</v>
      </c>
      <c r="S122" s="463"/>
      <c r="T122" s="426">
        <f>4704/2000</f>
        <v>2.3519999999999999</v>
      </c>
      <c r="U122" s="425">
        <f>(578509/2000)-Q122</f>
        <v>166.25450000000001</v>
      </c>
      <c r="V122" s="464"/>
      <c r="W122" s="607" t="s">
        <v>76</v>
      </c>
      <c r="X122" s="603" t="s">
        <v>584</v>
      </c>
      <c r="Y122" s="650"/>
      <c r="Z122" s="605">
        <f>14599/2000</f>
        <v>7.2995000000000001</v>
      </c>
      <c r="AA122" s="604">
        <f>(189789/2000)-W122</f>
        <v>81.894499999999994</v>
      </c>
      <c r="AB122" s="651"/>
      <c r="AC122" s="789" t="s">
        <v>585</v>
      </c>
      <c r="AD122" s="786" t="s">
        <v>586</v>
      </c>
      <c r="AE122" s="819"/>
      <c r="AF122" s="788">
        <f>5606/2000</f>
        <v>2.8029999999999999</v>
      </c>
      <c r="AG122" s="787">
        <f>(263509/2000)-AC122</f>
        <v>84.754500000000007</v>
      </c>
      <c r="AH122" s="969"/>
      <c r="AI122" s="924"/>
    </row>
    <row r="123" spans="1:35" ht="30" x14ac:dyDescent="0.25">
      <c r="A123" s="27" t="s">
        <v>576</v>
      </c>
      <c r="B123" s="28" t="s">
        <v>40</v>
      </c>
      <c r="C123" s="28" t="s">
        <v>41</v>
      </c>
      <c r="D123" s="28" t="s">
        <v>543</v>
      </c>
      <c r="E123" s="28"/>
      <c r="F123" s="29" t="s">
        <v>72</v>
      </c>
      <c r="G123" s="30" t="s">
        <v>577</v>
      </c>
      <c r="H123" s="27"/>
      <c r="I123" s="70" t="s">
        <v>587</v>
      </c>
      <c r="J123" s="211"/>
      <c r="K123" s="261">
        <v>224</v>
      </c>
      <c r="L123" s="262" t="s">
        <v>588</v>
      </c>
      <c r="M123" s="293"/>
      <c r="N123" s="267">
        <f>4696/2000</f>
        <v>2.3479999999999999</v>
      </c>
      <c r="O123" s="255">
        <f>(1051917/2000)-K123</f>
        <v>301.95849999999996</v>
      </c>
      <c r="P123" s="294"/>
      <c r="Q123" s="431">
        <v>148</v>
      </c>
      <c r="R123" s="432" t="s">
        <v>130</v>
      </c>
      <c r="S123" s="465"/>
      <c r="T123" s="443">
        <f>3909/2000</f>
        <v>1.9544999999999999</v>
      </c>
      <c r="U123" s="425">
        <f>(578509/2000)-Q123</f>
        <v>141.25450000000001</v>
      </c>
      <c r="V123" s="466"/>
      <c r="W123" s="611">
        <v>16</v>
      </c>
      <c r="X123" s="612" t="s">
        <v>589</v>
      </c>
      <c r="Y123" s="652"/>
      <c r="Z123" s="642">
        <f>11861/2000</f>
        <v>5.9305000000000003</v>
      </c>
      <c r="AA123" s="627">
        <f>(189789/2000)-W123</f>
        <v>78.894499999999994</v>
      </c>
      <c r="AB123" s="616"/>
      <c r="AC123" s="792">
        <v>60</v>
      </c>
      <c r="AD123" s="793" t="s">
        <v>590</v>
      </c>
      <c r="AE123" s="820"/>
      <c r="AF123" s="817">
        <f>4393/2000</f>
        <v>2.1964999999999999</v>
      </c>
      <c r="AG123" s="799">
        <f>(263509/2000)-AC123</f>
        <v>71.754500000000007</v>
      </c>
      <c r="AH123" s="960"/>
      <c r="AI123" s="915"/>
    </row>
    <row r="124" spans="1:35" ht="39" x14ac:dyDescent="0.25">
      <c r="A124" s="18" t="s">
        <v>591</v>
      </c>
      <c r="B124" s="19" t="s">
        <v>40</v>
      </c>
      <c r="C124" s="19" t="s">
        <v>41</v>
      </c>
      <c r="D124" s="19" t="s">
        <v>592</v>
      </c>
      <c r="E124" s="19" t="s">
        <v>593</v>
      </c>
      <c r="F124" s="20"/>
      <c r="G124" s="21" t="s">
        <v>594</v>
      </c>
      <c r="H124" s="22" t="s">
        <v>103</v>
      </c>
      <c r="I124" s="19" t="s">
        <v>73</v>
      </c>
      <c r="J124" s="210"/>
      <c r="K124" s="250"/>
      <c r="L124" s="251"/>
      <c r="M124" s="252"/>
      <c r="N124" s="253"/>
      <c r="O124" s="252"/>
      <c r="P124" s="254"/>
      <c r="Q124" s="418"/>
      <c r="R124" s="419"/>
      <c r="S124" s="420"/>
      <c r="T124" s="421"/>
      <c r="U124" s="420"/>
      <c r="V124" s="422"/>
      <c r="W124" s="597"/>
      <c r="X124" s="598"/>
      <c r="Y124" s="599"/>
      <c r="Z124" s="600"/>
      <c r="AA124" s="599"/>
      <c r="AB124" s="601"/>
      <c r="AC124" s="781"/>
      <c r="AD124" s="782"/>
      <c r="AE124" s="783"/>
      <c r="AF124" s="784"/>
      <c r="AG124" s="783"/>
      <c r="AH124" s="957"/>
      <c r="AI124" s="913" t="s">
        <v>595</v>
      </c>
    </row>
    <row r="125" spans="1:35" ht="39" x14ac:dyDescent="0.25">
      <c r="A125" s="18" t="s">
        <v>596</v>
      </c>
      <c r="B125" s="19" t="s">
        <v>40</v>
      </c>
      <c r="C125" s="19" t="s">
        <v>41</v>
      </c>
      <c r="D125" s="19" t="s">
        <v>592</v>
      </c>
      <c r="E125" s="19" t="s">
        <v>597</v>
      </c>
      <c r="F125" s="20"/>
      <c r="G125" s="21" t="s">
        <v>598</v>
      </c>
      <c r="H125" s="22" t="s">
        <v>103</v>
      </c>
      <c r="I125" s="19" t="s">
        <v>73</v>
      </c>
      <c r="J125" s="210"/>
      <c r="K125" s="250"/>
      <c r="L125" s="251"/>
      <c r="M125" s="252"/>
      <c r="N125" s="253"/>
      <c r="O125" s="252"/>
      <c r="P125" s="254"/>
      <c r="Q125" s="418"/>
      <c r="R125" s="419"/>
      <c r="S125" s="420"/>
      <c r="T125" s="421"/>
      <c r="U125" s="420"/>
      <c r="V125" s="422"/>
      <c r="W125" s="597"/>
      <c r="X125" s="598"/>
      <c r="Y125" s="599"/>
      <c r="Z125" s="600"/>
      <c r="AA125" s="599"/>
      <c r="AB125" s="601"/>
      <c r="AC125" s="781"/>
      <c r="AD125" s="782"/>
      <c r="AE125" s="783"/>
      <c r="AF125" s="784"/>
      <c r="AG125" s="783"/>
      <c r="AH125" s="957"/>
      <c r="AI125" s="913" t="s">
        <v>599</v>
      </c>
    </row>
    <row r="126" spans="1:35" ht="26.25" x14ac:dyDescent="0.25">
      <c r="A126" s="18" t="s">
        <v>600</v>
      </c>
      <c r="B126" s="19" t="s">
        <v>40</v>
      </c>
      <c r="C126" s="19" t="s">
        <v>41</v>
      </c>
      <c r="D126" s="19" t="s">
        <v>592</v>
      </c>
      <c r="E126" s="19" t="s">
        <v>601</v>
      </c>
      <c r="F126" s="20"/>
      <c r="G126" s="21" t="s">
        <v>602</v>
      </c>
      <c r="H126" s="22" t="s">
        <v>603</v>
      </c>
      <c r="I126" s="71" t="s">
        <v>138</v>
      </c>
      <c r="J126" s="210"/>
      <c r="K126" s="250"/>
      <c r="L126" s="251"/>
      <c r="M126" s="252"/>
      <c r="N126" s="253"/>
      <c r="O126" s="252"/>
      <c r="P126" s="254"/>
      <c r="Q126" s="418"/>
      <c r="R126" s="419"/>
      <c r="S126" s="420"/>
      <c r="T126" s="421"/>
      <c r="U126" s="420"/>
      <c r="V126" s="422"/>
      <c r="W126" s="597"/>
      <c r="X126" s="598"/>
      <c r="Y126" s="599"/>
      <c r="Z126" s="600"/>
      <c r="AA126" s="599"/>
      <c r="AB126" s="601"/>
      <c r="AC126" s="781"/>
      <c r="AD126" s="782"/>
      <c r="AE126" s="783"/>
      <c r="AF126" s="784"/>
      <c r="AG126" s="783"/>
      <c r="AH126" s="957"/>
      <c r="AI126" s="913" t="s">
        <v>604</v>
      </c>
    </row>
    <row r="127" spans="1:35" ht="51.75" x14ac:dyDescent="0.25">
      <c r="A127" s="18" t="s">
        <v>605</v>
      </c>
      <c r="B127" s="19" t="s">
        <v>40</v>
      </c>
      <c r="C127" s="19" t="s">
        <v>41</v>
      </c>
      <c r="D127" s="19" t="s">
        <v>592</v>
      </c>
      <c r="E127" s="19" t="s">
        <v>606</v>
      </c>
      <c r="F127" s="20"/>
      <c r="G127" s="21" t="s">
        <v>607</v>
      </c>
      <c r="H127" s="22" t="s">
        <v>103</v>
      </c>
      <c r="I127" s="19" t="s">
        <v>608</v>
      </c>
      <c r="J127" s="210"/>
      <c r="K127" s="250"/>
      <c r="L127" s="251"/>
      <c r="M127" s="252"/>
      <c r="N127" s="253"/>
      <c r="O127" s="252"/>
      <c r="P127" s="254"/>
      <c r="Q127" s="418"/>
      <c r="R127" s="419"/>
      <c r="S127" s="420"/>
      <c r="T127" s="421"/>
      <c r="U127" s="420"/>
      <c r="V127" s="422"/>
      <c r="W127" s="597"/>
      <c r="X127" s="598"/>
      <c r="Y127" s="599"/>
      <c r="Z127" s="600"/>
      <c r="AA127" s="599"/>
      <c r="AB127" s="601"/>
      <c r="AC127" s="781"/>
      <c r="AD127" s="782"/>
      <c r="AE127" s="783"/>
      <c r="AF127" s="784"/>
      <c r="AG127" s="783"/>
      <c r="AH127" s="957"/>
      <c r="AI127" s="913" t="s">
        <v>609</v>
      </c>
    </row>
    <row r="128" spans="1:35" ht="51.75" x14ac:dyDescent="0.25">
      <c r="A128" s="18" t="s">
        <v>610</v>
      </c>
      <c r="B128" s="19" t="s">
        <v>40</v>
      </c>
      <c r="C128" s="19" t="s">
        <v>41</v>
      </c>
      <c r="D128" s="19" t="s">
        <v>592</v>
      </c>
      <c r="E128" s="19" t="s">
        <v>611</v>
      </c>
      <c r="F128" s="20"/>
      <c r="G128" s="21" t="s">
        <v>612</v>
      </c>
      <c r="H128" s="18" t="s">
        <v>613</v>
      </c>
      <c r="I128" s="19" t="s">
        <v>608</v>
      </c>
      <c r="J128" s="210"/>
      <c r="K128" s="250"/>
      <c r="L128" s="251"/>
      <c r="M128" s="252"/>
      <c r="N128" s="253"/>
      <c r="O128" s="252"/>
      <c r="P128" s="254"/>
      <c r="Q128" s="418"/>
      <c r="R128" s="419"/>
      <c r="S128" s="420"/>
      <c r="T128" s="421"/>
      <c r="U128" s="420"/>
      <c r="V128" s="422"/>
      <c r="W128" s="597"/>
      <c r="X128" s="598"/>
      <c r="Y128" s="599"/>
      <c r="Z128" s="600"/>
      <c r="AA128" s="599"/>
      <c r="AB128" s="601"/>
      <c r="AC128" s="781"/>
      <c r="AD128" s="782"/>
      <c r="AE128" s="783"/>
      <c r="AF128" s="784"/>
      <c r="AG128" s="783"/>
      <c r="AH128" s="957"/>
      <c r="AI128" s="913" t="s">
        <v>604</v>
      </c>
    </row>
    <row r="129" spans="1:35" ht="39" x14ac:dyDescent="0.25">
      <c r="A129" s="18" t="s">
        <v>614</v>
      </c>
      <c r="B129" s="19" t="s">
        <v>40</v>
      </c>
      <c r="C129" s="19" t="s">
        <v>41</v>
      </c>
      <c r="D129" s="19" t="s">
        <v>592</v>
      </c>
      <c r="E129" s="19" t="s">
        <v>615</v>
      </c>
      <c r="F129" s="20"/>
      <c r="G129" s="21" t="s">
        <v>616</v>
      </c>
      <c r="H129" s="22" t="s">
        <v>103</v>
      </c>
      <c r="I129" s="19" t="s">
        <v>608</v>
      </c>
      <c r="J129" s="210"/>
      <c r="K129" s="250"/>
      <c r="L129" s="251"/>
      <c r="M129" s="252"/>
      <c r="N129" s="253"/>
      <c r="O129" s="252"/>
      <c r="P129" s="254"/>
      <c r="Q129" s="418"/>
      <c r="R129" s="419"/>
      <c r="S129" s="420"/>
      <c r="T129" s="421"/>
      <c r="U129" s="420"/>
      <c r="V129" s="422"/>
      <c r="W129" s="597"/>
      <c r="X129" s="598"/>
      <c r="Y129" s="599"/>
      <c r="Z129" s="600"/>
      <c r="AA129" s="599"/>
      <c r="AB129" s="601"/>
      <c r="AC129" s="781"/>
      <c r="AD129" s="782"/>
      <c r="AE129" s="783"/>
      <c r="AF129" s="784"/>
      <c r="AG129" s="783"/>
      <c r="AH129" s="957"/>
      <c r="AI129" s="913" t="s">
        <v>617</v>
      </c>
    </row>
    <row r="130" spans="1:35" ht="51.75" x14ac:dyDescent="0.25">
      <c r="A130" s="18" t="s">
        <v>618</v>
      </c>
      <c r="B130" s="19" t="s">
        <v>40</v>
      </c>
      <c r="C130" s="19" t="s">
        <v>41</v>
      </c>
      <c r="D130" s="19" t="s">
        <v>592</v>
      </c>
      <c r="E130" s="19" t="s">
        <v>619</v>
      </c>
      <c r="F130" s="20"/>
      <c r="G130" s="21" t="s">
        <v>620</v>
      </c>
      <c r="H130" s="22" t="s">
        <v>621</v>
      </c>
      <c r="I130" s="19" t="s">
        <v>109</v>
      </c>
      <c r="J130" s="210"/>
      <c r="K130" s="250"/>
      <c r="L130" s="251"/>
      <c r="M130" s="252"/>
      <c r="N130" s="253"/>
      <c r="O130" s="252"/>
      <c r="P130" s="254"/>
      <c r="Q130" s="418"/>
      <c r="R130" s="419"/>
      <c r="S130" s="420"/>
      <c r="T130" s="421"/>
      <c r="U130" s="420"/>
      <c r="V130" s="422"/>
      <c r="W130" s="597"/>
      <c r="X130" s="598"/>
      <c r="Y130" s="599"/>
      <c r="Z130" s="600"/>
      <c r="AA130" s="599"/>
      <c r="AB130" s="601"/>
      <c r="AC130" s="781"/>
      <c r="AD130" s="782"/>
      <c r="AE130" s="783"/>
      <c r="AF130" s="784"/>
      <c r="AG130" s="783"/>
      <c r="AH130" s="957"/>
      <c r="AI130" s="913" t="s">
        <v>622</v>
      </c>
    </row>
    <row r="131" spans="1:35" ht="26.25" x14ac:dyDescent="0.25">
      <c r="A131" s="23" t="s">
        <v>623</v>
      </c>
      <c r="B131" s="24" t="s">
        <v>40</v>
      </c>
      <c r="C131" s="24" t="s">
        <v>41</v>
      </c>
      <c r="D131" s="24" t="s">
        <v>592</v>
      </c>
      <c r="E131" s="24"/>
      <c r="F131" s="25" t="s">
        <v>55</v>
      </c>
      <c r="G131" s="26" t="s">
        <v>624</v>
      </c>
      <c r="H131" s="72" t="s">
        <v>625</v>
      </c>
      <c r="I131" s="73"/>
      <c r="J131" s="210"/>
      <c r="K131" s="250" t="s">
        <v>68</v>
      </c>
      <c r="L131" s="251" t="s">
        <v>626</v>
      </c>
      <c r="M131" s="279">
        <f>(1051917/25000)-K131</f>
        <v>38.076680000000003</v>
      </c>
      <c r="N131" s="280">
        <f>262979/25000</f>
        <v>10.519159999999999</v>
      </c>
      <c r="O131" s="279">
        <f>(1051917/20000)-K131</f>
        <v>48.595849999999999</v>
      </c>
      <c r="P131" s="281">
        <f>262979/20000</f>
        <v>13.148949999999999</v>
      </c>
      <c r="Q131" s="418" t="s">
        <v>149</v>
      </c>
      <c r="R131" s="419" t="s">
        <v>627</v>
      </c>
      <c r="S131" s="439">
        <f>(578592/25000)-Q131</f>
        <v>22.14368</v>
      </c>
      <c r="T131" s="440">
        <f>578592/25000</f>
        <v>23.14368</v>
      </c>
      <c r="U131" s="439">
        <f>(578592/20000)-Q131</f>
        <v>27.929600000000001</v>
      </c>
      <c r="V131" s="441">
        <f>578592/20000</f>
        <v>28.929600000000001</v>
      </c>
      <c r="W131" s="597" t="s">
        <v>57</v>
      </c>
      <c r="X131" s="598" t="s">
        <v>148</v>
      </c>
      <c r="Y131" s="604">
        <f>(189789/25000)-W131</f>
        <v>5.5915600000000003</v>
      </c>
      <c r="Z131" s="605">
        <f>94894/25000</f>
        <v>3.79576</v>
      </c>
      <c r="AA131" s="604">
        <f>(189789/20000)-W131</f>
        <v>7.4894499999999997</v>
      </c>
      <c r="AB131" s="606">
        <f>94894/20000</f>
        <v>4.7446999999999999</v>
      </c>
      <c r="AC131" s="781" t="s">
        <v>149</v>
      </c>
      <c r="AD131" s="782" t="s">
        <v>150</v>
      </c>
      <c r="AE131" s="804">
        <f>(263509/25000)-AC131</f>
        <v>9.5403599999999997</v>
      </c>
      <c r="AF131" s="805">
        <f>263509/25000</f>
        <v>10.54036</v>
      </c>
      <c r="AG131" s="804">
        <f>(263509/20000)-AC131</f>
        <v>12.17545</v>
      </c>
      <c r="AH131" s="964">
        <f>263509/20000</f>
        <v>13.17545</v>
      </c>
      <c r="AI131" s="914" t="s">
        <v>628</v>
      </c>
    </row>
    <row r="132" spans="1:35" ht="26.25" x14ac:dyDescent="0.25">
      <c r="A132" s="23" t="s">
        <v>623</v>
      </c>
      <c r="B132" s="24" t="s">
        <v>40</v>
      </c>
      <c r="C132" s="24" t="s">
        <v>41</v>
      </c>
      <c r="D132" s="24" t="s">
        <v>592</v>
      </c>
      <c r="E132" s="24"/>
      <c r="F132" s="25" t="s">
        <v>63</v>
      </c>
      <c r="G132" s="26" t="s">
        <v>624</v>
      </c>
      <c r="H132" s="72" t="s">
        <v>625</v>
      </c>
      <c r="I132" s="73"/>
      <c r="J132" s="210"/>
      <c r="K132" s="250" t="s">
        <v>629</v>
      </c>
      <c r="L132" s="251" t="s">
        <v>630</v>
      </c>
      <c r="M132" s="258">
        <f>(1051917/25000)-K132</f>
        <v>-50.923319999999997</v>
      </c>
      <c r="N132" s="259">
        <f>11310/25000</f>
        <v>0.45240000000000002</v>
      </c>
      <c r="O132" s="258">
        <f>(1051917/20000)-K132</f>
        <v>-40.404150000000001</v>
      </c>
      <c r="P132" s="260">
        <f>11310/20000</f>
        <v>0.5655</v>
      </c>
      <c r="Q132" s="418" t="s">
        <v>631</v>
      </c>
      <c r="R132" s="419" t="s">
        <v>632</v>
      </c>
      <c r="S132" s="428">
        <f>(578592/25000)-Q132</f>
        <v>-50.856319999999997</v>
      </c>
      <c r="T132" s="429">
        <f>7818/25000</f>
        <v>0.31272</v>
      </c>
      <c r="U132" s="428">
        <f>(578592/20000)-Q132</f>
        <v>-45.070399999999999</v>
      </c>
      <c r="V132" s="430">
        <f>7818/20000</f>
        <v>0.39090000000000003</v>
      </c>
      <c r="W132" s="597" t="s">
        <v>68</v>
      </c>
      <c r="X132" s="598" t="s">
        <v>69</v>
      </c>
      <c r="Y132" s="604">
        <f>(189789/25000)-W132</f>
        <v>3.5915600000000003</v>
      </c>
      <c r="Z132" s="605">
        <f>47447/25000</f>
        <v>1.89788</v>
      </c>
      <c r="AA132" s="604">
        <f>(189789/20000)-W132</f>
        <v>5.4894499999999997</v>
      </c>
      <c r="AB132" s="606">
        <f>47447/20000</f>
        <v>2.37235</v>
      </c>
      <c r="AC132" s="781" t="s">
        <v>633</v>
      </c>
      <c r="AD132" s="782" t="s">
        <v>634</v>
      </c>
      <c r="AE132" s="790">
        <f>(263509/25000)-AC132</f>
        <v>-4.4596400000000003</v>
      </c>
      <c r="AF132" s="791">
        <f>17567/25000</f>
        <v>0.70267999999999997</v>
      </c>
      <c r="AG132" s="790">
        <f>(263509/20000)-AC132</f>
        <v>-1.8245500000000003</v>
      </c>
      <c r="AH132" s="958">
        <f>17567/20000</f>
        <v>0.87834999999999996</v>
      </c>
      <c r="AI132" s="914"/>
    </row>
    <row r="133" spans="1:35" ht="30" x14ac:dyDescent="0.25">
      <c r="A133" s="27" t="s">
        <v>623</v>
      </c>
      <c r="B133" s="28" t="s">
        <v>40</v>
      </c>
      <c r="C133" s="28" t="s">
        <v>41</v>
      </c>
      <c r="D133" s="28" t="s">
        <v>592</v>
      </c>
      <c r="E133" s="28"/>
      <c r="F133" s="29" t="s">
        <v>72</v>
      </c>
      <c r="G133" s="30" t="s">
        <v>624</v>
      </c>
      <c r="H133" s="74" t="s">
        <v>625</v>
      </c>
      <c r="I133" s="70" t="s">
        <v>126</v>
      </c>
      <c r="J133" s="211"/>
      <c r="K133" s="261" t="s">
        <v>635</v>
      </c>
      <c r="L133" s="262" t="s">
        <v>636</v>
      </c>
      <c r="M133" s="263">
        <f>(1051917/25000)-K133</f>
        <v>-54.923319999999997</v>
      </c>
      <c r="N133" s="264">
        <f>10844/25000</f>
        <v>0.43375999999999998</v>
      </c>
      <c r="O133" s="263">
        <f>(1051917/20000)-K133</f>
        <v>-44.404150000000001</v>
      </c>
      <c r="P133" s="265">
        <f>10844/20000</f>
        <v>0.54220000000000002</v>
      </c>
      <c r="Q133" s="431" t="s">
        <v>305</v>
      </c>
      <c r="R133" s="432" t="s">
        <v>637</v>
      </c>
      <c r="S133" s="433">
        <f>(578592/25000)-Q133</f>
        <v>-51.856319999999997</v>
      </c>
      <c r="T133" s="434">
        <f>7714/25000</f>
        <v>0.30856</v>
      </c>
      <c r="U133" s="433">
        <f>(578592/20000)-Q133</f>
        <v>-46.070399999999999</v>
      </c>
      <c r="V133" s="435">
        <f>7714/20000</f>
        <v>0.38569999999999999</v>
      </c>
      <c r="W133" s="611" t="s">
        <v>145</v>
      </c>
      <c r="X133" s="612" t="s">
        <v>196</v>
      </c>
      <c r="Y133" s="627">
        <f>(189789/25000)-W133</f>
        <v>1.5915600000000003</v>
      </c>
      <c r="Z133" s="642">
        <f>31631/25000</f>
        <v>1.2652399999999999</v>
      </c>
      <c r="AA133" s="627">
        <f>(189789/20000)-W133</f>
        <v>3.4894499999999997</v>
      </c>
      <c r="AB133" s="643">
        <f>31631/20000</f>
        <v>1.58155</v>
      </c>
      <c r="AC133" s="792" t="s">
        <v>234</v>
      </c>
      <c r="AD133" s="793" t="s">
        <v>235</v>
      </c>
      <c r="AE133" s="794">
        <f>(263509/25000)-AC133</f>
        <v>-5.4596400000000003</v>
      </c>
      <c r="AF133" s="795">
        <f>16469/25000</f>
        <v>0.65876000000000001</v>
      </c>
      <c r="AG133" s="794">
        <f>(263509/20000)-AC133</f>
        <v>-2.8245500000000003</v>
      </c>
      <c r="AH133" s="959">
        <f>16469/20000</f>
        <v>0.82345000000000002</v>
      </c>
      <c r="AI133" s="915"/>
    </row>
    <row r="134" spans="1:35" ht="26.25" x14ac:dyDescent="0.25">
      <c r="A134" s="32" t="s">
        <v>638</v>
      </c>
      <c r="B134" s="33" t="s">
        <v>40</v>
      </c>
      <c r="C134" s="33" t="s">
        <v>41</v>
      </c>
      <c r="D134" s="33" t="s">
        <v>639</v>
      </c>
      <c r="E134" s="33"/>
      <c r="F134" s="34"/>
      <c r="G134" s="35" t="s">
        <v>640</v>
      </c>
      <c r="H134" s="75" t="s">
        <v>641</v>
      </c>
      <c r="I134" s="33" t="s">
        <v>608</v>
      </c>
      <c r="J134" s="210"/>
      <c r="K134" s="250"/>
      <c r="L134" s="251"/>
      <c r="M134" s="252"/>
      <c r="N134" s="253"/>
      <c r="O134" s="252"/>
      <c r="P134" s="254"/>
      <c r="Q134" s="418"/>
      <c r="R134" s="419"/>
      <c r="S134" s="420"/>
      <c r="T134" s="421"/>
      <c r="U134" s="420"/>
      <c r="V134" s="422"/>
      <c r="W134" s="597"/>
      <c r="X134" s="598"/>
      <c r="Y134" s="599"/>
      <c r="Z134" s="600"/>
      <c r="AA134" s="599"/>
      <c r="AB134" s="601"/>
      <c r="AC134" s="781"/>
      <c r="AD134" s="782"/>
      <c r="AE134" s="783"/>
      <c r="AF134" s="784"/>
      <c r="AG134" s="783"/>
      <c r="AH134" s="957"/>
      <c r="AI134" s="916" t="s">
        <v>642</v>
      </c>
    </row>
    <row r="135" spans="1:35" ht="51.75" x14ac:dyDescent="0.25">
      <c r="A135" s="18" t="s">
        <v>643</v>
      </c>
      <c r="B135" s="19" t="s">
        <v>40</v>
      </c>
      <c r="C135" s="19" t="s">
        <v>41</v>
      </c>
      <c r="D135" s="19" t="s">
        <v>644</v>
      </c>
      <c r="E135" s="19" t="s">
        <v>645</v>
      </c>
      <c r="F135" s="20"/>
      <c r="G135" s="21" t="s">
        <v>646</v>
      </c>
      <c r="H135" s="22" t="s">
        <v>647</v>
      </c>
      <c r="I135" s="19" t="s">
        <v>648</v>
      </c>
      <c r="J135" s="210"/>
      <c r="K135" s="250"/>
      <c r="L135" s="251"/>
      <c r="M135" s="252"/>
      <c r="N135" s="253"/>
      <c r="O135" s="252"/>
      <c r="P135" s="254"/>
      <c r="Q135" s="418"/>
      <c r="R135" s="419"/>
      <c r="S135" s="420"/>
      <c r="T135" s="421"/>
      <c r="U135" s="420"/>
      <c r="V135" s="422"/>
      <c r="W135" s="597"/>
      <c r="X135" s="598"/>
      <c r="Y135" s="599"/>
      <c r="Z135" s="600"/>
      <c r="AA135" s="599"/>
      <c r="AB135" s="601"/>
      <c r="AC135" s="781"/>
      <c r="AD135" s="782"/>
      <c r="AE135" s="783"/>
      <c r="AF135" s="784"/>
      <c r="AG135" s="783"/>
      <c r="AH135" s="957"/>
      <c r="AI135" s="913" t="s">
        <v>649</v>
      </c>
    </row>
    <row r="136" spans="1:35" ht="26.25" x14ac:dyDescent="0.25">
      <c r="A136" s="18" t="s">
        <v>650</v>
      </c>
      <c r="B136" s="19" t="s">
        <v>40</v>
      </c>
      <c r="C136" s="19" t="s">
        <v>41</v>
      </c>
      <c r="D136" s="19" t="s">
        <v>644</v>
      </c>
      <c r="E136" s="19" t="s">
        <v>651</v>
      </c>
      <c r="F136" s="20"/>
      <c r="G136" s="21" t="s">
        <v>652</v>
      </c>
      <c r="H136" s="22" t="s">
        <v>103</v>
      </c>
      <c r="I136" s="19" t="s">
        <v>89</v>
      </c>
      <c r="J136" s="210"/>
      <c r="K136" s="250"/>
      <c r="L136" s="251"/>
      <c r="M136" s="252"/>
      <c r="N136" s="253"/>
      <c r="O136" s="252"/>
      <c r="P136" s="254"/>
      <c r="Q136" s="418"/>
      <c r="R136" s="419"/>
      <c r="S136" s="420"/>
      <c r="T136" s="421"/>
      <c r="U136" s="420"/>
      <c r="V136" s="422"/>
      <c r="W136" s="597"/>
      <c r="X136" s="598"/>
      <c r="Y136" s="599"/>
      <c r="Z136" s="600"/>
      <c r="AA136" s="599"/>
      <c r="AB136" s="601"/>
      <c r="AC136" s="781"/>
      <c r="AD136" s="782"/>
      <c r="AE136" s="783"/>
      <c r="AF136" s="784"/>
      <c r="AG136" s="783"/>
      <c r="AH136" s="957"/>
      <c r="AI136" s="913" t="s">
        <v>653</v>
      </c>
    </row>
    <row r="137" spans="1:35" ht="26.25" x14ac:dyDescent="0.25">
      <c r="A137" s="18" t="s">
        <v>654</v>
      </c>
      <c r="B137" s="19" t="s">
        <v>40</v>
      </c>
      <c r="C137" s="19" t="s">
        <v>41</v>
      </c>
      <c r="D137" s="19" t="s">
        <v>644</v>
      </c>
      <c r="E137" s="19" t="s">
        <v>655</v>
      </c>
      <c r="F137" s="20"/>
      <c r="G137" s="21" t="s">
        <v>656</v>
      </c>
      <c r="H137" s="22" t="s">
        <v>103</v>
      </c>
      <c r="I137" s="19" t="s">
        <v>89</v>
      </c>
      <c r="J137" s="210"/>
      <c r="K137" s="250"/>
      <c r="L137" s="251"/>
      <c r="M137" s="252"/>
      <c r="N137" s="253"/>
      <c r="O137" s="252"/>
      <c r="P137" s="254"/>
      <c r="Q137" s="418"/>
      <c r="R137" s="419"/>
      <c r="S137" s="420"/>
      <c r="T137" s="421"/>
      <c r="U137" s="420"/>
      <c r="V137" s="422"/>
      <c r="W137" s="597"/>
      <c r="X137" s="598"/>
      <c r="Y137" s="599"/>
      <c r="Z137" s="600"/>
      <c r="AA137" s="599"/>
      <c r="AB137" s="601"/>
      <c r="AC137" s="781"/>
      <c r="AD137" s="782"/>
      <c r="AE137" s="783"/>
      <c r="AF137" s="784"/>
      <c r="AG137" s="783"/>
      <c r="AH137" s="957"/>
      <c r="AI137" s="913" t="s">
        <v>657</v>
      </c>
    </row>
    <row r="138" spans="1:35" ht="39" x14ac:dyDescent="0.25">
      <c r="A138" s="18" t="s">
        <v>658</v>
      </c>
      <c r="B138" s="19" t="s">
        <v>40</v>
      </c>
      <c r="C138" s="19" t="s">
        <v>41</v>
      </c>
      <c r="D138" s="19" t="s">
        <v>644</v>
      </c>
      <c r="E138" s="19" t="s">
        <v>659</v>
      </c>
      <c r="F138" s="20"/>
      <c r="G138" s="21" t="s">
        <v>660</v>
      </c>
      <c r="H138" s="22" t="s">
        <v>103</v>
      </c>
      <c r="I138" s="19" t="s">
        <v>89</v>
      </c>
      <c r="J138" s="210"/>
      <c r="K138" s="250"/>
      <c r="L138" s="251"/>
      <c r="M138" s="252"/>
      <c r="N138" s="253"/>
      <c r="O138" s="252"/>
      <c r="P138" s="254"/>
      <c r="Q138" s="418"/>
      <c r="R138" s="419"/>
      <c r="S138" s="420"/>
      <c r="T138" s="421"/>
      <c r="U138" s="420"/>
      <c r="V138" s="422"/>
      <c r="W138" s="597"/>
      <c r="X138" s="598"/>
      <c r="Y138" s="599"/>
      <c r="Z138" s="600"/>
      <c r="AA138" s="599"/>
      <c r="AB138" s="601"/>
      <c r="AC138" s="781"/>
      <c r="AD138" s="782"/>
      <c r="AE138" s="783"/>
      <c r="AF138" s="784"/>
      <c r="AG138" s="783"/>
      <c r="AH138" s="957"/>
      <c r="AI138" s="913" t="s">
        <v>649</v>
      </c>
    </row>
    <row r="139" spans="1:35" ht="26.25" x14ac:dyDescent="0.25">
      <c r="A139" s="18" t="s">
        <v>661</v>
      </c>
      <c r="B139" s="19" t="s">
        <v>40</v>
      </c>
      <c r="C139" s="19" t="s">
        <v>41</v>
      </c>
      <c r="D139" s="19" t="s">
        <v>644</v>
      </c>
      <c r="E139" s="19" t="s">
        <v>662</v>
      </c>
      <c r="F139" s="20"/>
      <c r="G139" s="21" t="s">
        <v>663</v>
      </c>
      <c r="H139" s="22" t="s">
        <v>664</v>
      </c>
      <c r="I139" s="19" t="s">
        <v>608</v>
      </c>
      <c r="J139" s="210"/>
      <c r="K139" s="250"/>
      <c r="L139" s="251"/>
      <c r="M139" s="252"/>
      <c r="N139" s="253"/>
      <c r="O139" s="252"/>
      <c r="P139" s="254"/>
      <c r="Q139" s="418"/>
      <c r="R139" s="419"/>
      <c r="S139" s="420"/>
      <c r="T139" s="421"/>
      <c r="U139" s="420"/>
      <c r="V139" s="422"/>
      <c r="W139" s="597"/>
      <c r="X139" s="598"/>
      <c r="Y139" s="599"/>
      <c r="Z139" s="600"/>
      <c r="AA139" s="599"/>
      <c r="AB139" s="601"/>
      <c r="AC139" s="781"/>
      <c r="AD139" s="782"/>
      <c r="AE139" s="783"/>
      <c r="AF139" s="784"/>
      <c r="AG139" s="783"/>
      <c r="AH139" s="957"/>
      <c r="AI139" s="913" t="s">
        <v>649</v>
      </c>
    </row>
    <row r="140" spans="1:35" ht="39" x14ac:dyDescent="0.25">
      <c r="A140" s="18" t="s">
        <v>665</v>
      </c>
      <c r="B140" s="19" t="s">
        <v>40</v>
      </c>
      <c r="C140" s="19" t="s">
        <v>41</v>
      </c>
      <c r="D140" s="19" t="s">
        <v>644</v>
      </c>
      <c r="E140" s="19" t="s">
        <v>666</v>
      </c>
      <c r="F140" s="20"/>
      <c r="G140" s="21" t="s">
        <v>667</v>
      </c>
      <c r="H140" s="22" t="s">
        <v>169</v>
      </c>
      <c r="I140" s="19" t="s">
        <v>608</v>
      </c>
      <c r="J140" s="210"/>
      <c r="K140" s="250"/>
      <c r="L140" s="251"/>
      <c r="M140" s="252"/>
      <c r="N140" s="253"/>
      <c r="O140" s="252"/>
      <c r="P140" s="254"/>
      <c r="Q140" s="418"/>
      <c r="R140" s="419"/>
      <c r="S140" s="420"/>
      <c r="T140" s="421"/>
      <c r="U140" s="420"/>
      <c r="V140" s="422"/>
      <c r="W140" s="597"/>
      <c r="X140" s="598"/>
      <c r="Y140" s="599"/>
      <c r="Z140" s="600"/>
      <c r="AA140" s="599"/>
      <c r="AB140" s="601"/>
      <c r="AC140" s="781"/>
      <c r="AD140" s="782"/>
      <c r="AE140" s="783"/>
      <c r="AF140" s="784"/>
      <c r="AG140" s="783"/>
      <c r="AH140" s="957"/>
      <c r="AI140" s="913" t="s">
        <v>104</v>
      </c>
    </row>
    <row r="141" spans="1:35" ht="39" x14ac:dyDescent="0.25">
      <c r="A141" s="18" t="s">
        <v>668</v>
      </c>
      <c r="B141" s="19" t="s">
        <v>40</v>
      </c>
      <c r="C141" s="19" t="s">
        <v>41</v>
      </c>
      <c r="D141" s="19" t="s">
        <v>644</v>
      </c>
      <c r="E141" s="19" t="s">
        <v>220</v>
      </c>
      <c r="F141" s="20"/>
      <c r="G141" s="21" t="s">
        <v>669</v>
      </c>
      <c r="H141" s="22" t="s">
        <v>103</v>
      </c>
      <c r="I141" s="19" t="s">
        <v>89</v>
      </c>
      <c r="J141" s="210"/>
      <c r="K141" s="250"/>
      <c r="L141" s="251"/>
      <c r="M141" s="252"/>
      <c r="N141" s="253"/>
      <c r="O141" s="252"/>
      <c r="P141" s="254"/>
      <c r="Q141" s="418"/>
      <c r="R141" s="419"/>
      <c r="S141" s="420"/>
      <c r="T141" s="421"/>
      <c r="U141" s="420"/>
      <c r="V141" s="422"/>
      <c r="W141" s="597"/>
      <c r="X141" s="598"/>
      <c r="Y141" s="599"/>
      <c r="Z141" s="600"/>
      <c r="AA141" s="599"/>
      <c r="AB141" s="601"/>
      <c r="AC141" s="781"/>
      <c r="AD141" s="782"/>
      <c r="AE141" s="783"/>
      <c r="AF141" s="784"/>
      <c r="AG141" s="783"/>
      <c r="AH141" s="957"/>
      <c r="AI141" s="913" t="s">
        <v>670</v>
      </c>
    </row>
    <row r="142" spans="1:35" ht="26.25" x14ac:dyDescent="0.25">
      <c r="A142" s="23" t="s">
        <v>671</v>
      </c>
      <c r="B142" s="24" t="s">
        <v>40</v>
      </c>
      <c r="C142" s="24" t="s">
        <v>41</v>
      </c>
      <c r="D142" s="24" t="s">
        <v>644</v>
      </c>
      <c r="E142" s="24"/>
      <c r="F142" s="25" t="s">
        <v>55</v>
      </c>
      <c r="G142" s="26" t="s">
        <v>672</v>
      </c>
      <c r="H142" s="72"/>
      <c r="I142" s="24"/>
      <c r="J142" s="210"/>
      <c r="K142" s="250" t="s">
        <v>114</v>
      </c>
      <c r="L142" s="251" t="s">
        <v>673</v>
      </c>
      <c r="M142" s="279">
        <f>(1051917/25000)-K142</f>
        <v>19.076680000000003</v>
      </c>
      <c r="N142" s="280">
        <f>45735/25000</f>
        <v>1.8293999999999999</v>
      </c>
      <c r="O142" s="279">
        <f>(1051917/20000)-K142</f>
        <v>29.595849999999999</v>
      </c>
      <c r="P142" s="281">
        <f>45735/20000</f>
        <v>2.2867500000000001</v>
      </c>
      <c r="Q142" s="418" t="s">
        <v>674</v>
      </c>
      <c r="R142" s="419" t="s">
        <v>675</v>
      </c>
      <c r="S142" s="439">
        <f>(578592/25000)-Q142</f>
        <v>11.14368</v>
      </c>
      <c r="T142" s="440">
        <f>48216/25000</f>
        <v>1.9286399999999999</v>
      </c>
      <c r="U142" s="439">
        <f>(578592/20000)-Q142</f>
        <v>16.929600000000001</v>
      </c>
      <c r="V142" s="441">
        <f>48216/20000</f>
        <v>2.4108000000000001</v>
      </c>
      <c r="W142" s="597" t="s">
        <v>70</v>
      </c>
      <c r="X142" s="598" t="s">
        <v>185</v>
      </c>
      <c r="Y142" s="644">
        <f>(189789/25000)-W142</f>
        <v>4.5915600000000003</v>
      </c>
      <c r="Z142" s="645">
        <f>63263/25000</f>
        <v>2.5305200000000001</v>
      </c>
      <c r="AA142" s="644">
        <f>(189789/20000)-W142</f>
        <v>6.4894499999999997</v>
      </c>
      <c r="AB142" s="646">
        <f>63263/20000</f>
        <v>3.1631499999999999</v>
      </c>
      <c r="AC142" s="781" t="s">
        <v>152</v>
      </c>
      <c r="AD142" s="782" t="s">
        <v>190</v>
      </c>
      <c r="AE142" s="804">
        <f>(263509/25000)-AC142</f>
        <v>2.5403599999999997</v>
      </c>
      <c r="AF142" s="805">
        <f>32938/25000</f>
        <v>1.31752</v>
      </c>
      <c r="AG142" s="804">
        <f>(263509/20000)-AC142</f>
        <v>5.1754499999999997</v>
      </c>
      <c r="AH142" s="964">
        <f>32938/20000</f>
        <v>1.6469</v>
      </c>
      <c r="AI142" s="914" t="s">
        <v>657</v>
      </c>
    </row>
    <row r="143" spans="1:35" ht="26.25" x14ac:dyDescent="0.25">
      <c r="A143" s="23" t="s">
        <v>671</v>
      </c>
      <c r="B143" s="24" t="s">
        <v>40</v>
      </c>
      <c r="C143" s="24" t="s">
        <v>41</v>
      </c>
      <c r="D143" s="24" t="s">
        <v>644</v>
      </c>
      <c r="E143" s="24"/>
      <c r="F143" s="25" t="s">
        <v>63</v>
      </c>
      <c r="G143" s="26" t="s">
        <v>672</v>
      </c>
      <c r="H143" s="72"/>
      <c r="I143" s="24"/>
      <c r="J143" s="210"/>
      <c r="K143" s="250" t="s">
        <v>676</v>
      </c>
      <c r="L143" s="251" t="s">
        <v>677</v>
      </c>
      <c r="M143" s="258">
        <f>(1051917/25000)-K143</f>
        <v>-66.92331999999999</v>
      </c>
      <c r="N143" s="259">
        <f>9650/25000</f>
        <v>0.38600000000000001</v>
      </c>
      <c r="O143" s="258">
        <f>(1051917/20000)-K143</f>
        <v>-56.404150000000001</v>
      </c>
      <c r="P143" s="260">
        <f>9650/20000</f>
        <v>0.48249999999999998</v>
      </c>
      <c r="Q143" s="418" t="s">
        <v>678</v>
      </c>
      <c r="R143" s="419" t="s">
        <v>679</v>
      </c>
      <c r="S143" s="428">
        <f>(578592/25000)-Q143</f>
        <v>-45.856319999999997</v>
      </c>
      <c r="T143" s="429">
        <f>8385/25000</f>
        <v>0.33539999999999998</v>
      </c>
      <c r="U143" s="428">
        <f>(578592/20000)-Q143</f>
        <v>-40.070399999999999</v>
      </c>
      <c r="V143" s="430">
        <f>8385/20000</f>
        <v>0.41925000000000001</v>
      </c>
      <c r="W143" s="597" t="s">
        <v>674</v>
      </c>
      <c r="X143" s="598" t="s">
        <v>680</v>
      </c>
      <c r="Y143" s="608">
        <f>(189789/25000)-W143</f>
        <v>-4.4084399999999997</v>
      </c>
      <c r="Z143" s="609">
        <f>15815/25000</f>
        <v>0.63260000000000005</v>
      </c>
      <c r="AA143" s="608">
        <f>(189789/20000)-W143</f>
        <v>-2.5105500000000003</v>
      </c>
      <c r="AB143" s="610">
        <f>15815/20000</f>
        <v>0.79074999999999995</v>
      </c>
      <c r="AC143" s="781" t="s">
        <v>681</v>
      </c>
      <c r="AD143" s="782" t="s">
        <v>682</v>
      </c>
      <c r="AE143" s="790">
        <f>(263509/25000)-AC143</f>
        <v>-17.45964</v>
      </c>
      <c r="AF143" s="791">
        <f>9411/25000</f>
        <v>0.37644</v>
      </c>
      <c r="AG143" s="790">
        <f>(263509/20000)-AC143</f>
        <v>-14.82455</v>
      </c>
      <c r="AH143" s="958">
        <f>9411/20000</f>
        <v>0.47055000000000002</v>
      </c>
      <c r="AI143" s="914"/>
    </row>
    <row r="144" spans="1:35" ht="30" x14ac:dyDescent="0.25">
      <c r="A144" s="27" t="s">
        <v>671</v>
      </c>
      <c r="B144" s="28" t="s">
        <v>40</v>
      </c>
      <c r="C144" s="28" t="s">
        <v>41</v>
      </c>
      <c r="D144" s="28" t="s">
        <v>644</v>
      </c>
      <c r="E144" s="28"/>
      <c r="F144" s="29" t="s">
        <v>72</v>
      </c>
      <c r="G144" s="30" t="s">
        <v>672</v>
      </c>
      <c r="H144" s="74" t="s">
        <v>683</v>
      </c>
      <c r="I144" s="28" t="s">
        <v>126</v>
      </c>
      <c r="J144" s="211"/>
      <c r="K144" s="261" t="s">
        <v>684</v>
      </c>
      <c r="L144" s="262" t="s">
        <v>685</v>
      </c>
      <c r="M144" s="263">
        <f>(1051917/25000)-K144</f>
        <v>-89.92331999999999</v>
      </c>
      <c r="N144" s="264">
        <f>7969/25000</f>
        <v>0.31875999999999999</v>
      </c>
      <c r="O144" s="263">
        <f>(1051917/20000)-K144</f>
        <v>-79.404150000000001</v>
      </c>
      <c r="P144" s="265">
        <f>7969/20000</f>
        <v>0.39845000000000003</v>
      </c>
      <c r="Q144" s="431" t="s">
        <v>686</v>
      </c>
      <c r="R144" s="432" t="s">
        <v>687</v>
      </c>
      <c r="S144" s="433">
        <f>(578592/25000)-Q144</f>
        <v>-57.856319999999997</v>
      </c>
      <c r="T144" s="434">
        <f>7143/25000</f>
        <v>0.28571999999999997</v>
      </c>
      <c r="U144" s="433">
        <f>(578592/20000)-Q144</f>
        <v>-52.070399999999999</v>
      </c>
      <c r="V144" s="435">
        <f>7143/20000</f>
        <v>0.35715000000000002</v>
      </c>
      <c r="W144" s="611" t="s">
        <v>633</v>
      </c>
      <c r="X144" s="612" t="s">
        <v>688</v>
      </c>
      <c r="Y144" s="613">
        <f>(189789/25000)-W144</f>
        <v>-7.4084399999999997</v>
      </c>
      <c r="Z144" s="614">
        <f>12652/25000</f>
        <v>0.50607999999999997</v>
      </c>
      <c r="AA144" s="613">
        <f>(189789/20000)-W144</f>
        <v>-5.5105500000000003</v>
      </c>
      <c r="AB144" s="615">
        <f>12652/20000</f>
        <v>0.63260000000000005</v>
      </c>
      <c r="AC144" s="792" t="s">
        <v>249</v>
      </c>
      <c r="AD144" s="793" t="s">
        <v>689</v>
      </c>
      <c r="AE144" s="794">
        <f>(263509/25000)-AC144</f>
        <v>-25.45964</v>
      </c>
      <c r="AF144" s="795">
        <f>7319/25000</f>
        <v>0.29276000000000002</v>
      </c>
      <c r="AG144" s="794">
        <f>(263509/20000)-AC144</f>
        <v>-22.824550000000002</v>
      </c>
      <c r="AH144" s="959">
        <f>7319/20000</f>
        <v>0.36595</v>
      </c>
      <c r="AI144" s="915"/>
    </row>
    <row r="145" spans="1:35" ht="26.25" x14ac:dyDescent="0.25">
      <c r="A145" s="18" t="s">
        <v>690</v>
      </c>
      <c r="B145" s="19" t="s">
        <v>40</v>
      </c>
      <c r="C145" s="19" t="s">
        <v>41</v>
      </c>
      <c r="D145" s="19" t="s">
        <v>691</v>
      </c>
      <c r="E145" s="19" t="s">
        <v>692</v>
      </c>
      <c r="F145" s="20"/>
      <c r="G145" s="21" t="s">
        <v>693</v>
      </c>
      <c r="H145" s="22" t="s">
        <v>603</v>
      </c>
      <c r="I145" s="19" t="s">
        <v>539</v>
      </c>
      <c r="J145" s="210"/>
      <c r="K145" s="250"/>
      <c r="L145" s="251"/>
      <c r="M145" s="252"/>
      <c r="N145" s="253"/>
      <c r="O145" s="252"/>
      <c r="P145" s="254"/>
      <c r="Q145" s="418"/>
      <c r="R145" s="419"/>
      <c r="S145" s="420"/>
      <c r="T145" s="421"/>
      <c r="U145" s="420"/>
      <c r="V145" s="422"/>
      <c r="W145" s="597"/>
      <c r="X145" s="598"/>
      <c r="Y145" s="599"/>
      <c r="Z145" s="600"/>
      <c r="AA145" s="599"/>
      <c r="AB145" s="601"/>
      <c r="AC145" s="781"/>
      <c r="AD145" s="782"/>
      <c r="AE145" s="783"/>
      <c r="AF145" s="784"/>
      <c r="AG145" s="783"/>
      <c r="AH145" s="957"/>
      <c r="AI145" s="913" t="s">
        <v>694</v>
      </c>
    </row>
    <row r="146" spans="1:35" ht="26.25" x14ac:dyDescent="0.25">
      <c r="A146" s="18" t="s">
        <v>695</v>
      </c>
      <c r="B146" s="19" t="s">
        <v>40</v>
      </c>
      <c r="C146" s="19" t="s">
        <v>41</v>
      </c>
      <c r="D146" s="19" t="s">
        <v>691</v>
      </c>
      <c r="E146" s="19" t="s">
        <v>696</v>
      </c>
      <c r="F146" s="20"/>
      <c r="G146" s="21" t="s">
        <v>697</v>
      </c>
      <c r="H146" s="22" t="s">
        <v>621</v>
      </c>
      <c r="I146" s="19" t="s">
        <v>213</v>
      </c>
      <c r="J146" s="210"/>
      <c r="K146" s="250"/>
      <c r="L146" s="251"/>
      <c r="M146" s="252"/>
      <c r="N146" s="253"/>
      <c r="O146" s="252"/>
      <c r="P146" s="254"/>
      <c r="Q146" s="418"/>
      <c r="R146" s="419"/>
      <c r="S146" s="420"/>
      <c r="T146" s="421"/>
      <c r="U146" s="420"/>
      <c r="V146" s="422"/>
      <c r="W146" s="597"/>
      <c r="X146" s="598"/>
      <c r="Y146" s="599"/>
      <c r="Z146" s="600"/>
      <c r="AA146" s="599"/>
      <c r="AB146" s="601"/>
      <c r="AC146" s="781"/>
      <c r="AD146" s="782"/>
      <c r="AE146" s="783"/>
      <c r="AF146" s="784"/>
      <c r="AG146" s="783"/>
      <c r="AH146" s="957"/>
      <c r="AI146" s="913" t="s">
        <v>698</v>
      </c>
    </row>
    <row r="147" spans="1:35" ht="39" x14ac:dyDescent="0.25">
      <c r="A147" s="18" t="s">
        <v>699</v>
      </c>
      <c r="B147" s="19" t="s">
        <v>40</v>
      </c>
      <c r="C147" s="19" t="s">
        <v>41</v>
      </c>
      <c r="D147" s="19" t="s">
        <v>691</v>
      </c>
      <c r="E147" s="19" t="s">
        <v>700</v>
      </c>
      <c r="F147" s="20"/>
      <c r="G147" s="21" t="s">
        <v>701</v>
      </c>
      <c r="H147" s="22" t="s">
        <v>664</v>
      </c>
      <c r="I147" s="19" t="s">
        <v>608</v>
      </c>
      <c r="J147" s="210"/>
      <c r="K147" s="250"/>
      <c r="L147" s="251"/>
      <c r="M147" s="252"/>
      <c r="N147" s="253"/>
      <c r="O147" s="252"/>
      <c r="P147" s="254"/>
      <c r="Q147" s="418"/>
      <c r="R147" s="419"/>
      <c r="S147" s="420"/>
      <c r="T147" s="421"/>
      <c r="U147" s="420"/>
      <c r="V147" s="422"/>
      <c r="W147" s="597"/>
      <c r="X147" s="598"/>
      <c r="Y147" s="599"/>
      <c r="Z147" s="600"/>
      <c r="AA147" s="599"/>
      <c r="AB147" s="601"/>
      <c r="AC147" s="781"/>
      <c r="AD147" s="782"/>
      <c r="AE147" s="783"/>
      <c r="AF147" s="784"/>
      <c r="AG147" s="783"/>
      <c r="AH147" s="957"/>
      <c r="AI147" s="913" t="s">
        <v>702</v>
      </c>
    </row>
    <row r="148" spans="1:35" ht="26.25" x14ac:dyDescent="0.25">
      <c r="A148" s="18" t="s">
        <v>703</v>
      </c>
      <c r="B148" s="19" t="s">
        <v>40</v>
      </c>
      <c r="C148" s="19" t="s">
        <v>41</v>
      </c>
      <c r="D148" s="19" t="s">
        <v>691</v>
      </c>
      <c r="E148" s="19" t="s">
        <v>704</v>
      </c>
      <c r="F148" s="20"/>
      <c r="G148" s="21" t="s">
        <v>705</v>
      </c>
      <c r="H148" s="22" t="s">
        <v>706</v>
      </c>
      <c r="I148" s="19" t="s">
        <v>707</v>
      </c>
      <c r="J148" s="210"/>
      <c r="K148" s="250"/>
      <c r="L148" s="251"/>
      <c r="M148" s="252"/>
      <c r="N148" s="253"/>
      <c r="O148" s="252"/>
      <c r="P148" s="254"/>
      <c r="Q148" s="418"/>
      <c r="R148" s="419"/>
      <c r="S148" s="420"/>
      <c r="T148" s="421"/>
      <c r="U148" s="420"/>
      <c r="V148" s="422"/>
      <c r="W148" s="597"/>
      <c r="X148" s="598"/>
      <c r="Y148" s="599"/>
      <c r="Z148" s="600"/>
      <c r="AA148" s="599"/>
      <c r="AB148" s="601"/>
      <c r="AC148" s="781"/>
      <c r="AD148" s="782"/>
      <c r="AE148" s="783"/>
      <c r="AF148" s="784"/>
      <c r="AG148" s="783"/>
      <c r="AH148" s="957"/>
      <c r="AI148" s="913" t="s">
        <v>708</v>
      </c>
    </row>
    <row r="149" spans="1:35" ht="39" x14ac:dyDescent="0.25">
      <c r="A149" s="18" t="s">
        <v>709</v>
      </c>
      <c r="B149" s="19" t="s">
        <v>40</v>
      </c>
      <c r="C149" s="19" t="s">
        <v>41</v>
      </c>
      <c r="D149" s="19" t="s">
        <v>691</v>
      </c>
      <c r="E149" s="19" t="s">
        <v>710</v>
      </c>
      <c r="F149" s="20"/>
      <c r="G149" s="21" t="s">
        <v>711</v>
      </c>
      <c r="H149" s="22" t="s">
        <v>169</v>
      </c>
      <c r="I149" s="19" t="s">
        <v>608</v>
      </c>
      <c r="J149" s="210"/>
      <c r="K149" s="250"/>
      <c r="L149" s="251"/>
      <c r="M149" s="252"/>
      <c r="N149" s="253"/>
      <c r="O149" s="252"/>
      <c r="P149" s="254"/>
      <c r="Q149" s="418"/>
      <c r="R149" s="419"/>
      <c r="S149" s="420"/>
      <c r="T149" s="421"/>
      <c r="U149" s="420"/>
      <c r="V149" s="422"/>
      <c r="W149" s="597"/>
      <c r="X149" s="598"/>
      <c r="Y149" s="599"/>
      <c r="Z149" s="600"/>
      <c r="AA149" s="599"/>
      <c r="AB149" s="601"/>
      <c r="AC149" s="781"/>
      <c r="AD149" s="782"/>
      <c r="AE149" s="783"/>
      <c r="AF149" s="784"/>
      <c r="AG149" s="783"/>
      <c r="AH149" s="957"/>
      <c r="AI149" s="913" t="s">
        <v>708</v>
      </c>
    </row>
    <row r="150" spans="1:35" ht="51.75" x14ac:dyDescent="0.25">
      <c r="A150" s="18" t="s">
        <v>712</v>
      </c>
      <c r="B150" s="19" t="s">
        <v>40</v>
      </c>
      <c r="C150" s="19" t="s">
        <v>41</v>
      </c>
      <c r="D150" s="19" t="s">
        <v>691</v>
      </c>
      <c r="E150" s="19" t="s">
        <v>713</v>
      </c>
      <c r="F150" s="20"/>
      <c r="G150" s="21" t="s">
        <v>714</v>
      </c>
      <c r="H150" s="22" t="s">
        <v>715</v>
      </c>
      <c r="I150" s="19" t="s">
        <v>138</v>
      </c>
      <c r="J150" s="210"/>
      <c r="K150" s="250"/>
      <c r="L150" s="251"/>
      <c r="M150" s="252"/>
      <c r="N150" s="253"/>
      <c r="O150" s="252"/>
      <c r="P150" s="254"/>
      <c r="Q150" s="418"/>
      <c r="R150" s="419"/>
      <c r="S150" s="420"/>
      <c r="T150" s="421"/>
      <c r="U150" s="420"/>
      <c r="V150" s="422"/>
      <c r="W150" s="597"/>
      <c r="X150" s="598"/>
      <c r="Y150" s="599"/>
      <c r="Z150" s="600"/>
      <c r="AA150" s="599"/>
      <c r="AB150" s="601"/>
      <c r="AC150" s="781"/>
      <c r="AD150" s="782"/>
      <c r="AE150" s="783"/>
      <c r="AF150" s="784"/>
      <c r="AG150" s="783"/>
      <c r="AH150" s="957"/>
      <c r="AI150" s="913" t="s">
        <v>716</v>
      </c>
    </row>
    <row r="151" spans="1:35" ht="39" x14ac:dyDescent="0.25">
      <c r="A151" s="18" t="s">
        <v>717</v>
      </c>
      <c r="B151" s="19" t="s">
        <v>40</v>
      </c>
      <c r="C151" s="19" t="s">
        <v>41</v>
      </c>
      <c r="D151" s="19" t="s">
        <v>691</v>
      </c>
      <c r="E151" s="19" t="s">
        <v>282</v>
      </c>
      <c r="F151" s="20"/>
      <c r="G151" s="21" t="s">
        <v>718</v>
      </c>
      <c r="H151" s="22" t="s">
        <v>621</v>
      </c>
      <c r="I151" s="19" t="s">
        <v>213</v>
      </c>
      <c r="J151" s="210"/>
      <c r="K151" s="250"/>
      <c r="L151" s="251"/>
      <c r="M151" s="252"/>
      <c r="N151" s="253"/>
      <c r="O151" s="252"/>
      <c r="P151" s="254"/>
      <c r="Q151" s="418"/>
      <c r="R151" s="419"/>
      <c r="S151" s="420"/>
      <c r="T151" s="421"/>
      <c r="U151" s="420"/>
      <c r="V151" s="422"/>
      <c r="W151" s="597"/>
      <c r="X151" s="598"/>
      <c r="Y151" s="599"/>
      <c r="Z151" s="600"/>
      <c r="AA151" s="599"/>
      <c r="AB151" s="601"/>
      <c r="AC151" s="781"/>
      <c r="AD151" s="782"/>
      <c r="AE151" s="783"/>
      <c r="AF151" s="784"/>
      <c r="AG151" s="783"/>
      <c r="AH151" s="957"/>
      <c r="AI151" s="913" t="s">
        <v>441</v>
      </c>
    </row>
    <row r="152" spans="1:35" ht="26.25" x14ac:dyDescent="0.25">
      <c r="A152" s="23" t="s">
        <v>719</v>
      </c>
      <c r="B152" s="24" t="s">
        <v>40</v>
      </c>
      <c r="C152" s="24" t="s">
        <v>41</v>
      </c>
      <c r="D152" s="24" t="s">
        <v>691</v>
      </c>
      <c r="E152" s="24"/>
      <c r="F152" s="25" t="s">
        <v>55</v>
      </c>
      <c r="G152" s="26" t="s">
        <v>720</v>
      </c>
      <c r="H152" s="72"/>
      <c r="I152" s="24"/>
      <c r="J152" s="210"/>
      <c r="K152" s="250" t="s">
        <v>68</v>
      </c>
      <c r="L152" s="251" t="s">
        <v>626</v>
      </c>
      <c r="M152" s="255">
        <f>(1051917/25000)-K152</f>
        <v>38.076680000000003</v>
      </c>
      <c r="N152" s="256">
        <f>262979/25000</f>
        <v>10.519159999999999</v>
      </c>
      <c r="O152" s="255">
        <f>(1051917/20000)-K152</f>
        <v>48.595849999999999</v>
      </c>
      <c r="P152" s="257">
        <f>262979/20000</f>
        <v>13.148949999999999</v>
      </c>
      <c r="Q152" s="418" t="s">
        <v>57</v>
      </c>
      <c r="R152" s="419" t="s">
        <v>475</v>
      </c>
      <c r="S152" s="439">
        <f>(578592/25000)-Q152</f>
        <v>21.14368</v>
      </c>
      <c r="T152" s="440">
        <f>289476/25000</f>
        <v>11.579040000000001</v>
      </c>
      <c r="U152" s="439">
        <f>(578592/20000)-Q152</f>
        <v>26.929600000000001</v>
      </c>
      <c r="V152" s="441">
        <f>289476/20000</f>
        <v>14.473800000000001</v>
      </c>
      <c r="W152" s="617" t="s">
        <v>60</v>
      </c>
      <c r="X152" s="598" t="s">
        <v>61</v>
      </c>
      <c r="Y152" s="604">
        <f>(189789/25000)-W152</f>
        <v>7.5915600000000003</v>
      </c>
      <c r="Z152" s="605" t="s">
        <v>61</v>
      </c>
      <c r="AA152" s="604">
        <f>(189789/20000)-W152</f>
        <v>9.4894499999999997</v>
      </c>
      <c r="AB152" s="606" t="s">
        <v>61</v>
      </c>
      <c r="AC152" s="781" t="s">
        <v>57</v>
      </c>
      <c r="AD152" s="782" t="s">
        <v>721</v>
      </c>
      <c r="AE152" s="787">
        <f>(263509/25000)-AC152</f>
        <v>8.5403599999999997</v>
      </c>
      <c r="AF152" s="788">
        <f>131754/25000</f>
        <v>5.2701599999999997</v>
      </c>
      <c r="AG152" s="787">
        <f>(263509/20000)-AC152</f>
        <v>11.17545</v>
      </c>
      <c r="AH152" s="889">
        <f>131754/20000</f>
        <v>6.5876999999999999</v>
      </c>
      <c r="AI152" s="914" t="s">
        <v>722</v>
      </c>
    </row>
    <row r="153" spans="1:35" ht="26.25" x14ac:dyDescent="0.25">
      <c r="A153" s="23" t="s">
        <v>719</v>
      </c>
      <c r="B153" s="24" t="s">
        <v>40</v>
      </c>
      <c r="C153" s="24" t="s">
        <v>41</v>
      </c>
      <c r="D153" s="24" t="s">
        <v>691</v>
      </c>
      <c r="E153" s="24"/>
      <c r="F153" s="25" t="s">
        <v>63</v>
      </c>
      <c r="G153" s="26" t="s">
        <v>720</v>
      </c>
      <c r="H153" s="72"/>
      <c r="I153" s="24"/>
      <c r="J153" s="210"/>
      <c r="K153" s="250" t="s">
        <v>723</v>
      </c>
      <c r="L153" s="251" t="s">
        <v>724</v>
      </c>
      <c r="M153" s="255">
        <f>(1051917/25000)-K153</f>
        <v>9.0766800000000032</v>
      </c>
      <c r="N153" s="256">
        <f>31876/25000</f>
        <v>1.27504</v>
      </c>
      <c r="O153" s="255">
        <f>(1051917/20000)-K153</f>
        <v>19.595849999999999</v>
      </c>
      <c r="P153" s="257">
        <f>31876/20000</f>
        <v>1.5938000000000001</v>
      </c>
      <c r="Q153" s="418" t="s">
        <v>681</v>
      </c>
      <c r="R153" s="419" t="s">
        <v>725</v>
      </c>
      <c r="S153" s="467">
        <f>(578592/25000)-Q153</f>
        <v>-4.8563200000000002</v>
      </c>
      <c r="T153" s="468">
        <f>20664/25000</f>
        <v>0.82655999999999996</v>
      </c>
      <c r="U153" s="467">
        <f>(578592/20000)-Q153</f>
        <v>0.92960000000000065</v>
      </c>
      <c r="V153" s="469">
        <f>20664/20000</f>
        <v>1.0331999999999999</v>
      </c>
      <c r="W153" s="597" t="s">
        <v>70</v>
      </c>
      <c r="X153" s="598" t="s">
        <v>185</v>
      </c>
      <c r="Y153" s="604">
        <f>(189789/25000)-W153</f>
        <v>4.5915600000000003</v>
      </c>
      <c r="Z153" s="605">
        <f>63263/25000</f>
        <v>2.5305200000000001</v>
      </c>
      <c r="AA153" s="604">
        <f>(189789/20000)-W153</f>
        <v>6.4894499999999997</v>
      </c>
      <c r="AB153" s="606">
        <f>63263/20000</f>
        <v>3.1631499999999999</v>
      </c>
      <c r="AC153" s="781" t="s">
        <v>57</v>
      </c>
      <c r="AD153" s="782" t="s">
        <v>721</v>
      </c>
      <c r="AE153" s="787">
        <f>(263509/25000)-AC153</f>
        <v>8.5403599999999997</v>
      </c>
      <c r="AF153" s="788">
        <f>131754/25000</f>
        <v>5.2701599999999997</v>
      </c>
      <c r="AG153" s="787">
        <f>(263509/20000)-AC153</f>
        <v>11.17545</v>
      </c>
      <c r="AH153" s="889">
        <f>131754/20000</f>
        <v>6.5876999999999999</v>
      </c>
      <c r="AI153" s="914"/>
    </row>
    <row r="154" spans="1:35" ht="30" x14ac:dyDescent="0.25">
      <c r="A154" s="27" t="s">
        <v>719</v>
      </c>
      <c r="B154" s="28" t="s">
        <v>40</v>
      </c>
      <c r="C154" s="28" t="s">
        <v>41</v>
      </c>
      <c r="D154" s="28" t="s">
        <v>691</v>
      </c>
      <c r="E154" s="28"/>
      <c r="F154" s="29" t="s">
        <v>72</v>
      </c>
      <c r="G154" s="30" t="s">
        <v>720</v>
      </c>
      <c r="H154" s="74" t="s">
        <v>726</v>
      </c>
      <c r="I154" s="28" t="s">
        <v>126</v>
      </c>
      <c r="J154" s="211"/>
      <c r="K154" s="261" t="s">
        <v>188</v>
      </c>
      <c r="L154" s="262" t="s">
        <v>727</v>
      </c>
      <c r="M154" s="266">
        <f>(1051917/25000)-K154</f>
        <v>5.0766800000000032</v>
      </c>
      <c r="N154" s="267">
        <f>28430/25000</f>
        <v>1.1372</v>
      </c>
      <c r="O154" s="266">
        <f>(1051917/20000)-K154</f>
        <v>15.595849999999999</v>
      </c>
      <c r="P154" s="268">
        <f>28430/20000</f>
        <v>1.4215</v>
      </c>
      <c r="Q154" s="431" t="s">
        <v>728</v>
      </c>
      <c r="R154" s="432" t="s">
        <v>729</v>
      </c>
      <c r="S154" s="433">
        <f>(578592/25000)-Q154</f>
        <v>-6.8563200000000002</v>
      </c>
      <c r="T154" s="434">
        <f>19286/25000</f>
        <v>0.77144000000000001</v>
      </c>
      <c r="U154" s="433">
        <f>(578592/20000)-Q154</f>
        <v>-1.0703999999999994</v>
      </c>
      <c r="V154" s="435">
        <f>19286/20000</f>
        <v>0.96430000000000005</v>
      </c>
      <c r="W154" s="611" t="s">
        <v>70</v>
      </c>
      <c r="X154" s="653" t="s">
        <v>185</v>
      </c>
      <c r="Y154" s="629">
        <f>(189789/25000)-W154</f>
        <v>4.5915600000000003</v>
      </c>
      <c r="Z154" s="628">
        <f>63263/25000</f>
        <v>2.5305200000000001</v>
      </c>
      <c r="AA154" s="629">
        <f>(189789/20000)-W154</f>
        <v>6.4894499999999997</v>
      </c>
      <c r="AB154" s="630">
        <f>63263/20000</f>
        <v>3.1631499999999999</v>
      </c>
      <c r="AC154" s="792" t="s">
        <v>68</v>
      </c>
      <c r="AD154" s="793" t="s">
        <v>730</v>
      </c>
      <c r="AE154" s="799">
        <f>(263509/25000)-AC154</f>
        <v>6.5403599999999997</v>
      </c>
      <c r="AF154" s="817">
        <f>65877/25000</f>
        <v>2.6350799999999999</v>
      </c>
      <c r="AG154" s="799">
        <f>(263509/20000)-AC154</f>
        <v>9.1754499999999997</v>
      </c>
      <c r="AH154" s="968">
        <f>65877/20000</f>
        <v>3.2938499999999999</v>
      </c>
      <c r="AI154" s="915"/>
    </row>
    <row r="155" spans="1:35" ht="26.25" x14ac:dyDescent="0.25">
      <c r="A155" s="49" t="s">
        <v>731</v>
      </c>
      <c r="B155" s="50" t="s">
        <v>40</v>
      </c>
      <c r="C155" s="50" t="s">
        <v>41</v>
      </c>
      <c r="D155" s="50" t="s">
        <v>97</v>
      </c>
      <c r="E155" s="50" t="s">
        <v>732</v>
      </c>
      <c r="F155" s="51"/>
      <c r="G155" s="52" t="s">
        <v>733</v>
      </c>
      <c r="H155" s="53" t="s">
        <v>734</v>
      </c>
      <c r="I155" s="50" t="s">
        <v>648</v>
      </c>
      <c r="J155" s="210"/>
      <c r="K155" s="250"/>
      <c r="L155" s="251"/>
      <c r="M155" s="252"/>
      <c r="N155" s="253"/>
      <c r="O155" s="252"/>
      <c r="P155" s="254"/>
      <c r="Q155" s="418"/>
      <c r="R155" s="419"/>
      <c r="S155" s="420"/>
      <c r="T155" s="421"/>
      <c r="U155" s="420"/>
      <c r="V155" s="422"/>
      <c r="W155" s="597"/>
      <c r="X155" s="598"/>
      <c r="Y155" s="599"/>
      <c r="Z155" s="600"/>
      <c r="AA155" s="599"/>
      <c r="AB155" s="601"/>
      <c r="AC155" s="781"/>
      <c r="AD155" s="782"/>
      <c r="AE155" s="783"/>
      <c r="AF155" s="784"/>
      <c r="AG155" s="783"/>
      <c r="AH155" s="957"/>
      <c r="AI155" s="920"/>
    </row>
    <row r="156" spans="1:35" ht="26.25" x14ac:dyDescent="0.25">
      <c r="A156" s="49" t="s">
        <v>735</v>
      </c>
      <c r="B156" s="50" t="s">
        <v>40</v>
      </c>
      <c r="C156" s="50" t="s">
        <v>41</v>
      </c>
      <c r="D156" s="50" t="s">
        <v>97</v>
      </c>
      <c r="E156" s="50" t="s">
        <v>97</v>
      </c>
      <c r="F156" s="51"/>
      <c r="G156" s="52" t="s">
        <v>736</v>
      </c>
      <c r="H156" s="53" t="s">
        <v>734</v>
      </c>
      <c r="I156" s="50" t="s">
        <v>648</v>
      </c>
      <c r="J156" s="210"/>
      <c r="K156" s="250"/>
      <c r="L156" s="251"/>
      <c r="M156" s="252"/>
      <c r="N156" s="253"/>
      <c r="O156" s="252"/>
      <c r="P156" s="254"/>
      <c r="Q156" s="418"/>
      <c r="R156" s="419"/>
      <c r="S156" s="420"/>
      <c r="T156" s="421"/>
      <c r="U156" s="420"/>
      <c r="V156" s="422"/>
      <c r="W156" s="597"/>
      <c r="X156" s="598"/>
      <c r="Y156" s="599"/>
      <c r="Z156" s="600"/>
      <c r="AA156" s="599"/>
      <c r="AB156" s="601"/>
      <c r="AC156" s="781"/>
      <c r="AD156" s="782"/>
      <c r="AE156" s="783"/>
      <c r="AF156" s="784"/>
      <c r="AG156" s="783"/>
      <c r="AH156" s="957"/>
      <c r="AI156" s="920" t="s">
        <v>737</v>
      </c>
    </row>
    <row r="157" spans="1:35" ht="39" x14ac:dyDescent="0.25">
      <c r="A157" s="76" t="s">
        <v>738</v>
      </c>
      <c r="B157" s="77" t="s">
        <v>61</v>
      </c>
      <c r="C157" s="77" t="s">
        <v>41</v>
      </c>
      <c r="D157" s="77" t="s">
        <v>97</v>
      </c>
      <c r="E157" s="77"/>
      <c r="F157" s="78" t="s">
        <v>55</v>
      </c>
      <c r="G157" s="79" t="s">
        <v>504</v>
      </c>
      <c r="H157" s="80"/>
      <c r="I157" s="77"/>
      <c r="J157" s="210"/>
      <c r="K157" s="250" t="s">
        <v>116</v>
      </c>
      <c r="L157" s="251" t="s">
        <v>505</v>
      </c>
      <c r="M157" s="279">
        <f>(1051917/75000)-K157</f>
        <v>9.0255600000000005</v>
      </c>
      <c r="N157" s="280">
        <f>210383/75000</f>
        <v>2.8051066666666666</v>
      </c>
      <c r="O157" s="279">
        <f>(1051917/50000)-K157</f>
        <v>16.038340000000002</v>
      </c>
      <c r="P157" s="281">
        <f>210383/50000</f>
        <v>4.2076599999999997</v>
      </c>
      <c r="Q157" s="418" t="s">
        <v>68</v>
      </c>
      <c r="R157" s="419" t="s">
        <v>184</v>
      </c>
      <c r="S157" s="439">
        <f>(578592/75000)-Q157</f>
        <v>3.7145599999999996</v>
      </c>
      <c r="T157" s="440">
        <f>144648/75000</f>
        <v>1.9286399999999999</v>
      </c>
      <c r="U157" s="439">
        <f>(578592/50000)-Q157</f>
        <v>7.5718399999999999</v>
      </c>
      <c r="V157" s="441">
        <f>144648/50000</f>
        <v>2.89296</v>
      </c>
      <c r="W157" s="597" t="s">
        <v>149</v>
      </c>
      <c r="X157" s="598" t="s">
        <v>739</v>
      </c>
      <c r="Y157" s="604">
        <f>(189789/75000)-W157</f>
        <v>1.5305200000000001</v>
      </c>
      <c r="Z157" s="605">
        <f>189789/75000</f>
        <v>2.5305200000000001</v>
      </c>
      <c r="AA157" s="604">
        <f>(189789/50000)-W157</f>
        <v>2.7957800000000002</v>
      </c>
      <c r="AB157" s="606">
        <f>189789/50000</f>
        <v>3.7957800000000002</v>
      </c>
      <c r="AC157" s="796" t="s">
        <v>60</v>
      </c>
      <c r="AD157" s="782" t="s">
        <v>61</v>
      </c>
      <c r="AE157" s="787">
        <f>(263509/75000)-AC157</f>
        <v>3.5134533333333335</v>
      </c>
      <c r="AF157" s="788" t="s">
        <v>61</v>
      </c>
      <c r="AG157" s="787">
        <f>(263509/50000)-AC157</f>
        <v>5.2701799999999999</v>
      </c>
      <c r="AH157" s="889" t="s">
        <v>61</v>
      </c>
      <c r="AI157" s="925"/>
    </row>
    <row r="158" spans="1:35" ht="39" x14ac:dyDescent="0.25">
      <c r="A158" s="76" t="s">
        <v>738</v>
      </c>
      <c r="B158" s="77" t="s">
        <v>61</v>
      </c>
      <c r="C158" s="77" t="s">
        <v>41</v>
      </c>
      <c r="D158" s="77" t="s">
        <v>97</v>
      </c>
      <c r="E158" s="77"/>
      <c r="F158" s="78" t="s">
        <v>63</v>
      </c>
      <c r="G158" s="79" t="s">
        <v>504</v>
      </c>
      <c r="H158" s="80"/>
      <c r="I158" s="77"/>
      <c r="J158" s="210"/>
      <c r="K158" s="250" t="s">
        <v>234</v>
      </c>
      <c r="L158" s="251" t="s">
        <v>740</v>
      </c>
      <c r="M158" s="295">
        <f>(1051917/75000)-K158</f>
        <v>-1.9744399999999995</v>
      </c>
      <c r="N158" s="296">
        <f>65744/75000</f>
        <v>0.87658666666666663</v>
      </c>
      <c r="O158" s="295">
        <f>(1051917/50000)-K158</f>
        <v>5.0383400000000016</v>
      </c>
      <c r="P158" s="297">
        <f>65744/50000</f>
        <v>1.31488</v>
      </c>
      <c r="Q158" s="418" t="s">
        <v>674</v>
      </c>
      <c r="R158" s="419" t="s">
        <v>675</v>
      </c>
      <c r="S158" s="428">
        <f>(578592/75000)-Q158</f>
        <v>-4.2854400000000004</v>
      </c>
      <c r="T158" s="429">
        <f>48216/75000</f>
        <v>0.64288000000000001</v>
      </c>
      <c r="U158" s="428">
        <f>(578592/50000)-Q158</f>
        <v>-0.4281600000000001</v>
      </c>
      <c r="V158" s="430">
        <f>48216/50000</f>
        <v>0.96431999999999995</v>
      </c>
      <c r="W158" s="597" t="s">
        <v>149</v>
      </c>
      <c r="X158" s="598" t="s">
        <v>739</v>
      </c>
      <c r="Y158" s="604">
        <f>(189789/75000)-W158</f>
        <v>1.5305200000000001</v>
      </c>
      <c r="Z158" s="605">
        <f>189789/75000</f>
        <v>2.5305200000000001</v>
      </c>
      <c r="AA158" s="604">
        <f>(189789/50000)-W158</f>
        <v>2.7957800000000002</v>
      </c>
      <c r="AB158" s="606">
        <f>189789/50000</f>
        <v>3.7957800000000002</v>
      </c>
      <c r="AC158" s="781" t="s">
        <v>70</v>
      </c>
      <c r="AD158" s="782" t="s">
        <v>71</v>
      </c>
      <c r="AE158" s="787">
        <f>(263509/75000)-AC158</f>
        <v>0.51345333333333354</v>
      </c>
      <c r="AF158" s="788">
        <f>87836/75000</f>
        <v>1.1711466666666666</v>
      </c>
      <c r="AG158" s="787">
        <f>(263509/50000)-AC158</f>
        <v>2.2701799999999999</v>
      </c>
      <c r="AH158" s="889">
        <f>87836/50000</f>
        <v>1.7567200000000001</v>
      </c>
      <c r="AI158" s="925"/>
    </row>
    <row r="159" spans="1:35" ht="60" x14ac:dyDescent="0.25">
      <c r="A159" s="54" t="s">
        <v>738</v>
      </c>
      <c r="B159" s="55" t="s">
        <v>61</v>
      </c>
      <c r="C159" s="55" t="s">
        <v>41</v>
      </c>
      <c r="D159" s="55" t="s">
        <v>97</v>
      </c>
      <c r="E159" s="55"/>
      <c r="F159" s="56" t="s">
        <v>72</v>
      </c>
      <c r="G159" s="57" t="s">
        <v>504</v>
      </c>
      <c r="H159" s="81"/>
      <c r="I159" s="55"/>
      <c r="J159" s="211"/>
      <c r="K159" s="261" t="s">
        <v>131</v>
      </c>
      <c r="L159" s="262" t="s">
        <v>741</v>
      </c>
      <c r="M159" s="263">
        <f>(1051917/75000)-K159</f>
        <v>-6.9744399999999995</v>
      </c>
      <c r="N159" s="264">
        <f>50091/75000</f>
        <v>0.66788000000000003</v>
      </c>
      <c r="O159" s="263">
        <f>(1051917/50000)-K159</f>
        <v>3.8340000000001595E-2</v>
      </c>
      <c r="P159" s="265">
        <f>50091/50000</f>
        <v>1.0018199999999999</v>
      </c>
      <c r="Q159" s="431" t="s">
        <v>234</v>
      </c>
      <c r="R159" s="432" t="s">
        <v>742</v>
      </c>
      <c r="S159" s="433">
        <f>(578592/75000)-Q159</f>
        <v>-8.2854400000000012</v>
      </c>
      <c r="T159" s="434">
        <f>36162/75000</f>
        <v>0.48215999999999998</v>
      </c>
      <c r="U159" s="433">
        <f>(578592/50000)-Q159</f>
        <v>-4.4281600000000001</v>
      </c>
      <c r="V159" s="435">
        <f>36162/50000</f>
        <v>0.72323999999999999</v>
      </c>
      <c r="W159" s="611" t="s">
        <v>57</v>
      </c>
      <c r="X159" s="612" t="s">
        <v>148</v>
      </c>
      <c r="Y159" s="627">
        <f>(189789/75000)-W159</f>
        <v>0.5305200000000001</v>
      </c>
      <c r="Z159" s="642">
        <f>94894/75000</f>
        <v>1.2652533333333333</v>
      </c>
      <c r="AA159" s="627">
        <f>(189789/50000)-W159</f>
        <v>1.7957800000000002</v>
      </c>
      <c r="AB159" s="643">
        <f>94894/50000</f>
        <v>1.89788</v>
      </c>
      <c r="AC159" s="792" t="s">
        <v>70</v>
      </c>
      <c r="AD159" s="793" t="s">
        <v>71</v>
      </c>
      <c r="AE159" s="799">
        <f>(263509/75000)-AC159</f>
        <v>0.51345333333333354</v>
      </c>
      <c r="AF159" s="817">
        <f>87836/75000</f>
        <v>1.1711466666666666</v>
      </c>
      <c r="AG159" s="799">
        <f>(263509/50000)-AC159</f>
        <v>2.2701799999999999</v>
      </c>
      <c r="AH159" s="968">
        <f>87836/50000</f>
        <v>1.7567200000000001</v>
      </c>
      <c r="AI159" s="921"/>
    </row>
    <row r="160" spans="1:35" ht="26.25" x14ac:dyDescent="0.25">
      <c r="A160" s="49" t="s">
        <v>743</v>
      </c>
      <c r="B160" s="50" t="s">
        <v>40</v>
      </c>
      <c r="C160" s="50" t="s">
        <v>41</v>
      </c>
      <c r="D160" s="50" t="s">
        <v>744</v>
      </c>
      <c r="E160" s="50" t="s">
        <v>745</v>
      </c>
      <c r="F160" s="51"/>
      <c r="G160" s="52" t="s">
        <v>746</v>
      </c>
      <c r="H160" s="53" t="s">
        <v>747</v>
      </c>
      <c r="I160" s="50" t="s">
        <v>748</v>
      </c>
      <c r="J160" s="210"/>
      <c r="K160" s="250"/>
      <c r="L160" s="251"/>
      <c r="M160" s="252"/>
      <c r="N160" s="253"/>
      <c r="O160" s="252"/>
      <c r="P160" s="254"/>
      <c r="Q160" s="418"/>
      <c r="R160" s="419"/>
      <c r="S160" s="420"/>
      <c r="T160" s="421"/>
      <c r="U160" s="420"/>
      <c r="V160" s="422"/>
      <c r="W160" s="597"/>
      <c r="X160" s="598"/>
      <c r="Y160" s="599"/>
      <c r="Z160" s="600"/>
      <c r="AA160" s="599"/>
      <c r="AB160" s="601"/>
      <c r="AC160" s="781"/>
      <c r="AD160" s="782"/>
      <c r="AE160" s="783"/>
      <c r="AF160" s="784"/>
      <c r="AG160" s="783"/>
      <c r="AH160" s="957"/>
      <c r="AI160" s="920" t="s">
        <v>749</v>
      </c>
    </row>
    <row r="161" spans="1:35" ht="39" x14ac:dyDescent="0.25">
      <c r="A161" s="49" t="s">
        <v>750</v>
      </c>
      <c r="B161" s="50" t="s">
        <v>40</v>
      </c>
      <c r="C161" s="50" t="s">
        <v>41</v>
      </c>
      <c r="D161" s="50" t="s">
        <v>744</v>
      </c>
      <c r="E161" s="50" t="s">
        <v>751</v>
      </c>
      <c r="F161" s="51"/>
      <c r="G161" s="52" t="s">
        <v>752</v>
      </c>
      <c r="H161" s="53" t="s">
        <v>747</v>
      </c>
      <c r="I161" s="50" t="s">
        <v>748</v>
      </c>
      <c r="J161" s="210"/>
      <c r="K161" s="250"/>
      <c r="L161" s="251"/>
      <c r="M161" s="252"/>
      <c r="N161" s="253"/>
      <c r="O161" s="252"/>
      <c r="P161" s="254"/>
      <c r="Q161" s="418"/>
      <c r="R161" s="419"/>
      <c r="S161" s="420"/>
      <c r="T161" s="421"/>
      <c r="U161" s="420"/>
      <c r="V161" s="422"/>
      <c r="W161" s="597"/>
      <c r="X161" s="598"/>
      <c r="Y161" s="599"/>
      <c r="Z161" s="600"/>
      <c r="AA161" s="599"/>
      <c r="AB161" s="601"/>
      <c r="AC161" s="781"/>
      <c r="AD161" s="782"/>
      <c r="AE161" s="783"/>
      <c r="AF161" s="784"/>
      <c r="AG161" s="783"/>
      <c r="AH161" s="957"/>
      <c r="AI161" s="920" t="s">
        <v>753</v>
      </c>
    </row>
    <row r="162" spans="1:35" ht="39" x14ac:dyDescent="0.25">
      <c r="A162" s="49" t="s">
        <v>754</v>
      </c>
      <c r="B162" s="50" t="s">
        <v>40</v>
      </c>
      <c r="C162" s="50" t="s">
        <v>41</v>
      </c>
      <c r="D162" s="50" t="s">
        <v>744</v>
      </c>
      <c r="E162" s="50" t="s">
        <v>755</v>
      </c>
      <c r="F162" s="51"/>
      <c r="G162" s="52" t="s">
        <v>756</v>
      </c>
      <c r="H162" s="53" t="s">
        <v>174</v>
      </c>
      <c r="I162" s="50" t="s">
        <v>213</v>
      </c>
      <c r="J162" s="210"/>
      <c r="K162" s="250"/>
      <c r="L162" s="251"/>
      <c r="M162" s="252"/>
      <c r="N162" s="253"/>
      <c r="O162" s="252"/>
      <c r="P162" s="254"/>
      <c r="Q162" s="418"/>
      <c r="R162" s="419"/>
      <c r="S162" s="420"/>
      <c r="T162" s="421"/>
      <c r="U162" s="420"/>
      <c r="V162" s="422"/>
      <c r="W162" s="597"/>
      <c r="X162" s="598"/>
      <c r="Y162" s="599"/>
      <c r="Z162" s="600"/>
      <c r="AA162" s="599"/>
      <c r="AB162" s="601"/>
      <c r="AC162" s="781"/>
      <c r="AD162" s="782"/>
      <c r="AE162" s="783"/>
      <c r="AF162" s="784"/>
      <c r="AG162" s="783"/>
      <c r="AH162" s="957"/>
      <c r="AI162" s="920" t="s">
        <v>757</v>
      </c>
    </row>
    <row r="163" spans="1:35" ht="39" x14ac:dyDescent="0.25">
      <c r="A163" s="49" t="s">
        <v>758</v>
      </c>
      <c r="B163" s="50" t="s">
        <v>40</v>
      </c>
      <c r="C163" s="50" t="s">
        <v>41</v>
      </c>
      <c r="D163" s="50" t="s">
        <v>744</v>
      </c>
      <c r="E163" s="50" t="s">
        <v>759</v>
      </c>
      <c r="F163" s="51"/>
      <c r="G163" s="52" t="s">
        <v>760</v>
      </c>
      <c r="H163" s="53" t="s">
        <v>761</v>
      </c>
      <c r="I163" s="50" t="s">
        <v>109</v>
      </c>
      <c r="J163" s="210"/>
      <c r="K163" s="250"/>
      <c r="L163" s="251"/>
      <c r="M163" s="252"/>
      <c r="N163" s="253"/>
      <c r="O163" s="252"/>
      <c r="P163" s="254"/>
      <c r="Q163" s="418"/>
      <c r="R163" s="419"/>
      <c r="S163" s="420"/>
      <c r="T163" s="421"/>
      <c r="U163" s="420"/>
      <c r="V163" s="422"/>
      <c r="W163" s="597"/>
      <c r="X163" s="598"/>
      <c r="Y163" s="599"/>
      <c r="Z163" s="600"/>
      <c r="AA163" s="599"/>
      <c r="AB163" s="601"/>
      <c r="AC163" s="781"/>
      <c r="AD163" s="782"/>
      <c r="AE163" s="783"/>
      <c r="AF163" s="784"/>
      <c r="AG163" s="783"/>
      <c r="AH163" s="957"/>
      <c r="AI163" s="920" t="s">
        <v>757</v>
      </c>
    </row>
    <row r="164" spans="1:35" ht="39" x14ac:dyDescent="0.25">
      <c r="A164" s="49" t="s">
        <v>762</v>
      </c>
      <c r="B164" s="50" t="s">
        <v>40</v>
      </c>
      <c r="C164" s="50" t="s">
        <v>41</v>
      </c>
      <c r="D164" s="50" t="s">
        <v>744</v>
      </c>
      <c r="E164" s="50" t="s">
        <v>763</v>
      </c>
      <c r="F164" s="51"/>
      <c r="G164" s="52" t="s">
        <v>764</v>
      </c>
      <c r="H164" s="53" t="s">
        <v>765</v>
      </c>
      <c r="I164" s="50" t="s">
        <v>109</v>
      </c>
      <c r="J164" s="210"/>
      <c r="K164" s="250"/>
      <c r="L164" s="251"/>
      <c r="M164" s="252"/>
      <c r="N164" s="253"/>
      <c r="O164" s="252"/>
      <c r="P164" s="254"/>
      <c r="Q164" s="418"/>
      <c r="R164" s="419"/>
      <c r="S164" s="420"/>
      <c r="T164" s="421"/>
      <c r="U164" s="420"/>
      <c r="V164" s="422"/>
      <c r="W164" s="597"/>
      <c r="X164" s="598"/>
      <c r="Y164" s="599"/>
      <c r="Z164" s="600"/>
      <c r="AA164" s="599"/>
      <c r="AB164" s="601"/>
      <c r="AC164" s="781"/>
      <c r="AD164" s="782"/>
      <c r="AE164" s="783"/>
      <c r="AF164" s="784"/>
      <c r="AG164" s="783"/>
      <c r="AH164" s="957"/>
      <c r="AI164" s="920" t="s">
        <v>766</v>
      </c>
    </row>
    <row r="165" spans="1:35" ht="26.25" x14ac:dyDescent="0.25">
      <c r="A165" s="49" t="s">
        <v>767</v>
      </c>
      <c r="B165" s="50" t="s">
        <v>40</v>
      </c>
      <c r="C165" s="50" t="s">
        <v>41</v>
      </c>
      <c r="D165" s="50" t="s">
        <v>744</v>
      </c>
      <c r="E165" s="50" t="s">
        <v>768</v>
      </c>
      <c r="F165" s="51"/>
      <c r="G165" s="52" t="s">
        <v>769</v>
      </c>
      <c r="H165" s="53" t="s">
        <v>734</v>
      </c>
      <c r="I165" s="50" t="s">
        <v>89</v>
      </c>
      <c r="J165" s="210"/>
      <c r="K165" s="250"/>
      <c r="L165" s="251"/>
      <c r="M165" s="252"/>
      <c r="N165" s="253"/>
      <c r="O165" s="252"/>
      <c r="P165" s="254"/>
      <c r="Q165" s="418"/>
      <c r="R165" s="419"/>
      <c r="S165" s="420"/>
      <c r="T165" s="421"/>
      <c r="U165" s="420"/>
      <c r="V165" s="422"/>
      <c r="W165" s="597"/>
      <c r="X165" s="598"/>
      <c r="Y165" s="599"/>
      <c r="Z165" s="600"/>
      <c r="AA165" s="599"/>
      <c r="AB165" s="601"/>
      <c r="AC165" s="781"/>
      <c r="AD165" s="782"/>
      <c r="AE165" s="783"/>
      <c r="AF165" s="784"/>
      <c r="AG165" s="783"/>
      <c r="AH165" s="957"/>
      <c r="AI165" s="920" t="s">
        <v>770</v>
      </c>
    </row>
    <row r="166" spans="1:35" ht="39" x14ac:dyDescent="0.25">
      <c r="A166" s="49" t="s">
        <v>771</v>
      </c>
      <c r="B166" s="50" t="s">
        <v>40</v>
      </c>
      <c r="C166" s="50" t="s">
        <v>41</v>
      </c>
      <c r="D166" s="50" t="s">
        <v>744</v>
      </c>
      <c r="E166" s="50" t="s">
        <v>772</v>
      </c>
      <c r="F166" s="51"/>
      <c r="G166" s="52" t="s">
        <v>773</v>
      </c>
      <c r="H166" s="53" t="s">
        <v>734</v>
      </c>
      <c r="I166" s="50" t="s">
        <v>89</v>
      </c>
      <c r="J166" s="210"/>
      <c r="K166" s="250"/>
      <c r="L166" s="251"/>
      <c r="M166" s="252"/>
      <c r="N166" s="253"/>
      <c r="O166" s="252"/>
      <c r="P166" s="254"/>
      <c r="Q166" s="418"/>
      <c r="R166" s="419"/>
      <c r="S166" s="420"/>
      <c r="T166" s="421"/>
      <c r="U166" s="420"/>
      <c r="V166" s="422"/>
      <c r="W166" s="597"/>
      <c r="X166" s="598"/>
      <c r="Y166" s="599"/>
      <c r="Z166" s="600"/>
      <c r="AA166" s="599"/>
      <c r="AB166" s="601"/>
      <c r="AC166" s="781"/>
      <c r="AD166" s="782"/>
      <c r="AE166" s="783"/>
      <c r="AF166" s="784"/>
      <c r="AG166" s="783"/>
      <c r="AH166" s="957"/>
      <c r="AI166" s="920" t="s">
        <v>774</v>
      </c>
    </row>
    <row r="167" spans="1:35" ht="26.25" x14ac:dyDescent="0.25">
      <c r="A167" s="49" t="s">
        <v>775</v>
      </c>
      <c r="B167" s="50" t="s">
        <v>40</v>
      </c>
      <c r="C167" s="50" t="s">
        <v>41</v>
      </c>
      <c r="D167" s="50" t="s">
        <v>744</v>
      </c>
      <c r="E167" s="50" t="s">
        <v>776</v>
      </c>
      <c r="F167" s="51"/>
      <c r="G167" s="52" t="s">
        <v>777</v>
      </c>
      <c r="H167" s="53" t="s">
        <v>169</v>
      </c>
      <c r="I167" s="82" t="s">
        <v>138</v>
      </c>
      <c r="J167" s="210"/>
      <c r="K167" s="250"/>
      <c r="L167" s="251"/>
      <c r="M167" s="252"/>
      <c r="N167" s="253"/>
      <c r="O167" s="252"/>
      <c r="P167" s="254"/>
      <c r="Q167" s="418"/>
      <c r="R167" s="419"/>
      <c r="S167" s="420"/>
      <c r="T167" s="421"/>
      <c r="U167" s="420"/>
      <c r="V167" s="422"/>
      <c r="W167" s="597"/>
      <c r="X167" s="598"/>
      <c r="Y167" s="599"/>
      <c r="Z167" s="600"/>
      <c r="AA167" s="599"/>
      <c r="AB167" s="601"/>
      <c r="AC167" s="781"/>
      <c r="AD167" s="782"/>
      <c r="AE167" s="783"/>
      <c r="AF167" s="784"/>
      <c r="AG167" s="783"/>
      <c r="AH167" s="957"/>
      <c r="AI167" s="920" t="s">
        <v>778</v>
      </c>
    </row>
    <row r="168" spans="1:35" ht="26.25" x14ac:dyDescent="0.25">
      <c r="A168" s="49" t="s">
        <v>779</v>
      </c>
      <c r="B168" s="50" t="s">
        <v>40</v>
      </c>
      <c r="C168" s="50" t="s">
        <v>41</v>
      </c>
      <c r="D168" s="50" t="s">
        <v>744</v>
      </c>
      <c r="E168" s="50" t="s">
        <v>163</v>
      </c>
      <c r="F168" s="51"/>
      <c r="G168" s="52" t="s">
        <v>780</v>
      </c>
      <c r="H168" s="53" t="s">
        <v>174</v>
      </c>
      <c r="I168" s="50" t="s">
        <v>160</v>
      </c>
      <c r="J168" s="210"/>
      <c r="K168" s="250"/>
      <c r="L168" s="251"/>
      <c r="M168" s="252"/>
      <c r="N168" s="253"/>
      <c r="O168" s="252"/>
      <c r="P168" s="254"/>
      <c r="Q168" s="418"/>
      <c r="R168" s="419"/>
      <c r="S168" s="420"/>
      <c r="T168" s="421"/>
      <c r="U168" s="420"/>
      <c r="V168" s="422"/>
      <c r="W168" s="597"/>
      <c r="X168" s="598"/>
      <c r="Y168" s="599"/>
      <c r="Z168" s="600"/>
      <c r="AA168" s="599"/>
      <c r="AB168" s="601"/>
      <c r="AC168" s="781"/>
      <c r="AD168" s="782"/>
      <c r="AE168" s="783"/>
      <c r="AF168" s="784"/>
      <c r="AG168" s="783"/>
      <c r="AH168" s="957"/>
      <c r="AI168" s="920" t="s">
        <v>781</v>
      </c>
    </row>
    <row r="169" spans="1:35" ht="26.25" x14ac:dyDescent="0.25">
      <c r="A169" s="49" t="s">
        <v>782</v>
      </c>
      <c r="B169" s="50" t="s">
        <v>40</v>
      </c>
      <c r="C169" s="50" t="s">
        <v>41</v>
      </c>
      <c r="D169" s="50" t="s">
        <v>744</v>
      </c>
      <c r="E169" s="50" t="s">
        <v>783</v>
      </c>
      <c r="F169" s="51"/>
      <c r="G169" s="52" t="s">
        <v>784</v>
      </c>
      <c r="H169" s="53" t="s">
        <v>785</v>
      </c>
      <c r="I169" s="50" t="s">
        <v>160</v>
      </c>
      <c r="J169" s="210"/>
      <c r="K169" s="250"/>
      <c r="L169" s="251"/>
      <c r="M169" s="252"/>
      <c r="N169" s="253"/>
      <c r="O169" s="252"/>
      <c r="P169" s="254"/>
      <c r="Q169" s="418"/>
      <c r="R169" s="419"/>
      <c r="S169" s="420"/>
      <c r="T169" s="421"/>
      <c r="U169" s="420"/>
      <c r="V169" s="422"/>
      <c r="W169" s="597"/>
      <c r="X169" s="598"/>
      <c r="Y169" s="599"/>
      <c r="Z169" s="600"/>
      <c r="AA169" s="599"/>
      <c r="AB169" s="601"/>
      <c r="AC169" s="781"/>
      <c r="AD169" s="782"/>
      <c r="AE169" s="783"/>
      <c r="AF169" s="784"/>
      <c r="AG169" s="783"/>
      <c r="AH169" s="957"/>
      <c r="AI169" s="920" t="s">
        <v>774</v>
      </c>
    </row>
    <row r="170" spans="1:35" ht="26.25" x14ac:dyDescent="0.25">
      <c r="A170" s="49" t="s">
        <v>786</v>
      </c>
      <c r="B170" s="50" t="s">
        <v>40</v>
      </c>
      <c r="C170" s="50" t="s">
        <v>41</v>
      </c>
      <c r="D170" s="50" t="s">
        <v>744</v>
      </c>
      <c r="E170" s="50" t="s">
        <v>394</v>
      </c>
      <c r="F170" s="51"/>
      <c r="G170" s="52" t="s">
        <v>787</v>
      </c>
      <c r="H170" s="53" t="s">
        <v>765</v>
      </c>
      <c r="I170" s="50" t="s">
        <v>160</v>
      </c>
      <c r="J170" s="210"/>
      <c r="K170" s="250"/>
      <c r="L170" s="251"/>
      <c r="M170" s="252"/>
      <c r="N170" s="253"/>
      <c r="O170" s="252"/>
      <c r="P170" s="254"/>
      <c r="Q170" s="418"/>
      <c r="R170" s="419"/>
      <c r="S170" s="420"/>
      <c r="T170" s="421"/>
      <c r="U170" s="420"/>
      <c r="V170" s="422"/>
      <c r="W170" s="597"/>
      <c r="X170" s="598"/>
      <c r="Y170" s="599"/>
      <c r="Z170" s="600"/>
      <c r="AA170" s="599"/>
      <c r="AB170" s="601"/>
      <c r="AC170" s="781"/>
      <c r="AD170" s="782"/>
      <c r="AE170" s="783"/>
      <c r="AF170" s="784"/>
      <c r="AG170" s="783"/>
      <c r="AH170" s="957"/>
      <c r="AI170" s="920" t="s">
        <v>757</v>
      </c>
    </row>
    <row r="171" spans="1:35" ht="26.25" x14ac:dyDescent="0.25">
      <c r="A171" s="49" t="s">
        <v>788</v>
      </c>
      <c r="B171" s="50" t="s">
        <v>40</v>
      </c>
      <c r="C171" s="50" t="s">
        <v>41</v>
      </c>
      <c r="D171" s="50" t="s">
        <v>744</v>
      </c>
      <c r="E171" s="50" t="s">
        <v>789</v>
      </c>
      <c r="F171" s="51"/>
      <c r="G171" s="52" t="s">
        <v>790</v>
      </c>
      <c r="H171" s="53" t="s">
        <v>791</v>
      </c>
      <c r="I171" s="50" t="s">
        <v>160</v>
      </c>
      <c r="J171" s="210"/>
      <c r="K171" s="250"/>
      <c r="L171" s="251"/>
      <c r="M171" s="252"/>
      <c r="N171" s="253"/>
      <c r="O171" s="252"/>
      <c r="P171" s="254"/>
      <c r="Q171" s="418"/>
      <c r="R171" s="419"/>
      <c r="S171" s="420"/>
      <c r="T171" s="421"/>
      <c r="U171" s="420"/>
      <c r="V171" s="422"/>
      <c r="W171" s="597"/>
      <c r="X171" s="598"/>
      <c r="Y171" s="599"/>
      <c r="Z171" s="600"/>
      <c r="AA171" s="599"/>
      <c r="AB171" s="601"/>
      <c r="AC171" s="781"/>
      <c r="AD171" s="782"/>
      <c r="AE171" s="783"/>
      <c r="AF171" s="784"/>
      <c r="AG171" s="783"/>
      <c r="AH171" s="957"/>
      <c r="AI171" s="920" t="s">
        <v>792</v>
      </c>
    </row>
    <row r="172" spans="1:35" ht="26.25" x14ac:dyDescent="0.25">
      <c r="A172" s="49" t="s">
        <v>793</v>
      </c>
      <c r="B172" s="50" t="s">
        <v>40</v>
      </c>
      <c r="C172" s="50" t="s">
        <v>41</v>
      </c>
      <c r="D172" s="50" t="s">
        <v>744</v>
      </c>
      <c r="E172" s="50" t="s">
        <v>794</v>
      </c>
      <c r="F172" s="51"/>
      <c r="G172" s="52" t="s">
        <v>795</v>
      </c>
      <c r="H172" s="53" t="s">
        <v>791</v>
      </c>
      <c r="I172" s="50" t="s">
        <v>160</v>
      </c>
      <c r="J172" s="210"/>
      <c r="K172" s="250"/>
      <c r="L172" s="251"/>
      <c r="M172" s="252"/>
      <c r="N172" s="253"/>
      <c r="O172" s="252"/>
      <c r="P172" s="254"/>
      <c r="Q172" s="418"/>
      <c r="R172" s="419"/>
      <c r="S172" s="420"/>
      <c r="T172" s="421"/>
      <c r="U172" s="420"/>
      <c r="V172" s="422"/>
      <c r="W172" s="597"/>
      <c r="X172" s="598"/>
      <c r="Y172" s="599"/>
      <c r="Z172" s="600"/>
      <c r="AA172" s="599"/>
      <c r="AB172" s="601"/>
      <c r="AC172" s="781"/>
      <c r="AD172" s="782"/>
      <c r="AE172" s="783"/>
      <c r="AF172" s="784"/>
      <c r="AG172" s="783"/>
      <c r="AH172" s="957"/>
      <c r="AI172" s="920" t="s">
        <v>757</v>
      </c>
    </row>
    <row r="173" spans="1:35" ht="39" x14ac:dyDescent="0.25">
      <c r="A173" s="49" t="s">
        <v>796</v>
      </c>
      <c r="B173" s="50" t="s">
        <v>40</v>
      </c>
      <c r="C173" s="50" t="s">
        <v>41</v>
      </c>
      <c r="D173" s="50" t="s">
        <v>744</v>
      </c>
      <c r="E173" s="50" t="s">
        <v>496</v>
      </c>
      <c r="F173" s="51"/>
      <c r="G173" s="52" t="s">
        <v>797</v>
      </c>
      <c r="H173" s="53" t="s">
        <v>765</v>
      </c>
      <c r="I173" s="50" t="s">
        <v>160</v>
      </c>
      <c r="J173" s="210"/>
      <c r="K173" s="250"/>
      <c r="L173" s="251"/>
      <c r="M173" s="252"/>
      <c r="N173" s="253"/>
      <c r="O173" s="252"/>
      <c r="P173" s="254"/>
      <c r="Q173" s="418"/>
      <c r="R173" s="419"/>
      <c r="S173" s="420"/>
      <c r="T173" s="421"/>
      <c r="U173" s="420"/>
      <c r="V173" s="422"/>
      <c r="W173" s="597"/>
      <c r="X173" s="598"/>
      <c r="Y173" s="599"/>
      <c r="Z173" s="600"/>
      <c r="AA173" s="599"/>
      <c r="AB173" s="601"/>
      <c r="AC173" s="781"/>
      <c r="AD173" s="782"/>
      <c r="AE173" s="783"/>
      <c r="AF173" s="784"/>
      <c r="AG173" s="783"/>
      <c r="AH173" s="957"/>
      <c r="AI173" s="920" t="s">
        <v>798</v>
      </c>
    </row>
    <row r="174" spans="1:35" ht="26.25" x14ac:dyDescent="0.25">
      <c r="A174" s="49" t="s">
        <v>799</v>
      </c>
      <c r="B174" s="50" t="s">
        <v>40</v>
      </c>
      <c r="C174" s="50" t="s">
        <v>41</v>
      </c>
      <c r="D174" s="50" t="s">
        <v>744</v>
      </c>
      <c r="E174" s="50" t="s">
        <v>800</v>
      </c>
      <c r="F174" s="51"/>
      <c r="G174" s="52" t="s">
        <v>801</v>
      </c>
      <c r="H174" s="53" t="s">
        <v>791</v>
      </c>
      <c r="I174" s="50" t="s">
        <v>160</v>
      </c>
      <c r="J174" s="210"/>
      <c r="K174" s="250"/>
      <c r="L174" s="251"/>
      <c r="M174" s="252"/>
      <c r="N174" s="253"/>
      <c r="O174" s="252"/>
      <c r="P174" s="254"/>
      <c r="Q174" s="418"/>
      <c r="R174" s="419"/>
      <c r="S174" s="420"/>
      <c r="T174" s="421"/>
      <c r="U174" s="420"/>
      <c r="V174" s="422"/>
      <c r="W174" s="597"/>
      <c r="X174" s="598"/>
      <c r="Y174" s="599"/>
      <c r="Z174" s="600"/>
      <c r="AA174" s="599"/>
      <c r="AB174" s="601"/>
      <c r="AC174" s="781"/>
      <c r="AD174" s="782"/>
      <c r="AE174" s="783"/>
      <c r="AF174" s="784"/>
      <c r="AG174" s="783"/>
      <c r="AH174" s="957"/>
      <c r="AI174" s="920" t="s">
        <v>757</v>
      </c>
    </row>
    <row r="175" spans="1:35" ht="26.25" x14ac:dyDescent="0.25">
      <c r="A175" s="49" t="s">
        <v>802</v>
      </c>
      <c r="B175" s="50" t="s">
        <v>40</v>
      </c>
      <c r="C175" s="50" t="s">
        <v>41</v>
      </c>
      <c r="D175" s="50" t="s">
        <v>744</v>
      </c>
      <c r="E175" s="50" t="s">
        <v>803</v>
      </c>
      <c r="F175" s="51"/>
      <c r="G175" s="52" t="s">
        <v>804</v>
      </c>
      <c r="H175" s="53" t="s">
        <v>805</v>
      </c>
      <c r="I175" s="50" t="s">
        <v>160</v>
      </c>
      <c r="J175" s="210"/>
      <c r="K175" s="250"/>
      <c r="L175" s="251"/>
      <c r="M175" s="252"/>
      <c r="N175" s="253"/>
      <c r="O175" s="252"/>
      <c r="P175" s="254"/>
      <c r="Q175" s="418"/>
      <c r="R175" s="419"/>
      <c r="S175" s="420"/>
      <c r="T175" s="421"/>
      <c r="U175" s="420"/>
      <c r="V175" s="422"/>
      <c r="W175" s="597"/>
      <c r="X175" s="598"/>
      <c r="Y175" s="599"/>
      <c r="Z175" s="600"/>
      <c r="AA175" s="599"/>
      <c r="AB175" s="601"/>
      <c r="AC175" s="781"/>
      <c r="AD175" s="782"/>
      <c r="AE175" s="783"/>
      <c r="AF175" s="784"/>
      <c r="AG175" s="783"/>
      <c r="AH175" s="957"/>
      <c r="AI175" s="920" t="s">
        <v>806</v>
      </c>
    </row>
    <row r="176" spans="1:35" ht="39" x14ac:dyDescent="0.25">
      <c r="A176" s="76" t="s">
        <v>807</v>
      </c>
      <c r="B176" s="77" t="s">
        <v>61</v>
      </c>
      <c r="C176" s="77" t="s">
        <v>41</v>
      </c>
      <c r="D176" s="77" t="s">
        <v>744</v>
      </c>
      <c r="E176" s="77"/>
      <c r="F176" s="78" t="s">
        <v>55</v>
      </c>
      <c r="G176" s="83" t="s">
        <v>504</v>
      </c>
      <c r="H176" s="80"/>
      <c r="I176" s="77"/>
      <c r="J176" s="210"/>
      <c r="K176" s="250" t="s">
        <v>116</v>
      </c>
      <c r="L176" s="251" t="s">
        <v>505</v>
      </c>
      <c r="M176" s="295">
        <f>(1051917/2000000)-K176</f>
        <v>-4.4740415000000002</v>
      </c>
      <c r="N176" s="296">
        <f>210383/2000000</f>
        <v>0.10519149999999999</v>
      </c>
      <c r="O176" s="295">
        <f>(1051917/50000)-K176</f>
        <v>16.038340000000002</v>
      </c>
      <c r="P176" s="297">
        <f>210282/50000</f>
        <v>4.2056399999999998</v>
      </c>
      <c r="Q176" s="418" t="s">
        <v>116</v>
      </c>
      <c r="R176" s="419" t="s">
        <v>154</v>
      </c>
      <c r="S176" s="467">
        <f>(578592/2000000)-Q176</f>
        <v>-4.7107039999999998</v>
      </c>
      <c r="T176" s="468">
        <f>115718/2000000</f>
        <v>5.7859000000000001E-2</v>
      </c>
      <c r="U176" s="467">
        <f>(578592/50000)-Q176</f>
        <v>6.5718399999999999</v>
      </c>
      <c r="V176" s="469">
        <f>115718/50000</f>
        <v>2.3143600000000002</v>
      </c>
      <c r="W176" s="617" t="s">
        <v>60</v>
      </c>
      <c r="X176" s="598" t="s">
        <v>61</v>
      </c>
      <c r="Y176" s="644">
        <f>(189789/2000000)-W176</f>
        <v>9.4894500000000007E-2</v>
      </c>
      <c r="Z176" s="645" t="s">
        <v>61</v>
      </c>
      <c r="AA176" s="644">
        <f>(189789/50000)-W176</f>
        <v>3.7957800000000002</v>
      </c>
      <c r="AB176" s="646" t="s">
        <v>61</v>
      </c>
      <c r="AC176" s="796" t="s">
        <v>60</v>
      </c>
      <c r="AD176" s="782" t="s">
        <v>61</v>
      </c>
      <c r="AE176" s="804">
        <f>(263509/2000000)-AC176</f>
        <v>0.1317545</v>
      </c>
      <c r="AF176" s="805" t="s">
        <v>61</v>
      </c>
      <c r="AG176" s="804">
        <f>(263509/50000)-AC176</f>
        <v>5.2701799999999999</v>
      </c>
      <c r="AH176" s="964" t="s">
        <v>61</v>
      </c>
      <c r="AI176" s="925"/>
    </row>
    <row r="177" spans="1:35" ht="39" x14ac:dyDescent="0.25">
      <c r="A177" s="76" t="s">
        <v>807</v>
      </c>
      <c r="B177" s="77" t="s">
        <v>61</v>
      </c>
      <c r="C177" s="77" t="s">
        <v>41</v>
      </c>
      <c r="D177" s="77" t="s">
        <v>744</v>
      </c>
      <c r="E177" s="77"/>
      <c r="F177" s="78" t="s">
        <v>63</v>
      </c>
      <c r="G177" s="83" t="s">
        <v>504</v>
      </c>
      <c r="H177" s="80"/>
      <c r="I177" s="77"/>
      <c r="J177" s="210"/>
      <c r="K177" s="250" t="s">
        <v>320</v>
      </c>
      <c r="L177" s="251" t="s">
        <v>321</v>
      </c>
      <c r="M177" s="258">
        <f>(1051917/2000000)-K177</f>
        <v>-44.474041499999998</v>
      </c>
      <c r="N177" s="259">
        <f>23375/2000000</f>
        <v>1.16875E-2</v>
      </c>
      <c r="O177" s="258">
        <f>(1051917/50000)-K177</f>
        <v>-23.961659999999998</v>
      </c>
      <c r="P177" s="260">
        <f>23375/50000</f>
        <v>0.46750000000000003</v>
      </c>
      <c r="Q177" s="418" t="s">
        <v>728</v>
      </c>
      <c r="R177" s="419" t="s">
        <v>729</v>
      </c>
      <c r="S177" s="428">
        <f>(578592/2000000)-Q177</f>
        <v>-29.710704</v>
      </c>
      <c r="T177" s="429">
        <f>19286/2000000</f>
        <v>9.6430000000000005E-3</v>
      </c>
      <c r="U177" s="428">
        <f>(578592/50000)-Q177</f>
        <v>-18.428159999999998</v>
      </c>
      <c r="V177" s="430">
        <f>19286/50000</f>
        <v>0.38572000000000001</v>
      </c>
      <c r="W177" s="597" t="s">
        <v>324</v>
      </c>
      <c r="X177" s="598" t="s">
        <v>516</v>
      </c>
      <c r="Y177" s="608">
        <f>(189789/2000000)-W177</f>
        <v>-8.9051054999999995</v>
      </c>
      <c r="Z177" s="609">
        <f>21087/2000000</f>
        <v>1.0543500000000001E-2</v>
      </c>
      <c r="AA177" s="608">
        <f>(189789/50000)-W177</f>
        <v>-5.2042199999999994</v>
      </c>
      <c r="AB177" s="610">
        <f>21087/50000</f>
        <v>0.42174</v>
      </c>
      <c r="AC177" s="781" t="s">
        <v>145</v>
      </c>
      <c r="AD177" s="782" t="s">
        <v>808</v>
      </c>
      <c r="AE177" s="790">
        <f>(263509/2000000)-AC177</f>
        <v>-5.8682455000000004</v>
      </c>
      <c r="AF177" s="791">
        <f>43918/2000000</f>
        <v>2.1958999999999999E-2</v>
      </c>
      <c r="AG177" s="790">
        <f>(263509/50000)-AC177</f>
        <v>-0.72982000000000014</v>
      </c>
      <c r="AH177" s="958">
        <f>43918/50000</f>
        <v>0.87836000000000003</v>
      </c>
      <c r="AI177" s="925"/>
    </row>
    <row r="178" spans="1:35" ht="60" x14ac:dyDescent="0.25">
      <c r="A178" s="54" t="s">
        <v>807</v>
      </c>
      <c r="B178" s="55" t="s">
        <v>61</v>
      </c>
      <c r="C178" s="55" t="s">
        <v>41</v>
      </c>
      <c r="D178" s="55" t="s">
        <v>744</v>
      </c>
      <c r="E178" s="55"/>
      <c r="F178" s="56" t="s">
        <v>72</v>
      </c>
      <c r="G178" s="57" t="s">
        <v>504</v>
      </c>
      <c r="H178" s="81"/>
      <c r="I178" s="55"/>
      <c r="J178" s="211"/>
      <c r="K178" s="261" t="s">
        <v>809</v>
      </c>
      <c r="L178" s="262" t="s">
        <v>810</v>
      </c>
      <c r="M178" s="263">
        <f>(1051917/2000000)-K178</f>
        <v>-49.474041499999998</v>
      </c>
      <c r="N178" s="264">
        <f>21038/2000000</f>
        <v>1.0519000000000001E-2</v>
      </c>
      <c r="O178" s="263">
        <f>(1051917/50000)-K178</f>
        <v>-28.961659999999998</v>
      </c>
      <c r="P178" s="265">
        <f>21038/50000</f>
        <v>0.42076000000000002</v>
      </c>
      <c r="Q178" s="431" t="s">
        <v>811</v>
      </c>
      <c r="R178" s="432" t="s">
        <v>812</v>
      </c>
      <c r="S178" s="433">
        <f>(578592/2000000)-Q178</f>
        <v>-34.710704</v>
      </c>
      <c r="T178" s="434">
        <f>16531/2000000</f>
        <v>8.2655000000000003E-3</v>
      </c>
      <c r="U178" s="433">
        <f>(578592/50000)-Q178</f>
        <v>-23.428159999999998</v>
      </c>
      <c r="V178" s="435">
        <f>16531/50000</f>
        <v>0.33062000000000002</v>
      </c>
      <c r="W178" s="611" t="s">
        <v>324</v>
      </c>
      <c r="X178" s="653" t="s">
        <v>516</v>
      </c>
      <c r="Y178" s="619">
        <f>(189789/2000000)-W178</f>
        <v>-8.9051054999999995</v>
      </c>
      <c r="Z178" s="618">
        <f>21087/2000000</f>
        <v>1.0543500000000001E-2</v>
      </c>
      <c r="AA178" s="619">
        <f>(189789/50000)-W178</f>
        <v>-5.2042199999999994</v>
      </c>
      <c r="AB178" s="615">
        <f>21087/50000</f>
        <v>0.42174</v>
      </c>
      <c r="AC178" s="821" t="s">
        <v>145</v>
      </c>
      <c r="AD178" s="818" t="s">
        <v>808</v>
      </c>
      <c r="AE178" s="798">
        <f>(263509/2000000)-AC178</f>
        <v>-5.8682455000000004</v>
      </c>
      <c r="AF178" s="797">
        <f>43918/2000000</f>
        <v>2.1958999999999999E-2</v>
      </c>
      <c r="AG178" s="798">
        <f>(263509/50000)-AC178</f>
        <v>-0.72982000000000014</v>
      </c>
      <c r="AH178" s="959">
        <f>43918/50000</f>
        <v>0.87836000000000003</v>
      </c>
      <c r="AI178" s="921"/>
    </row>
    <row r="179" spans="1:35" ht="26.25" x14ac:dyDescent="0.25">
      <c r="A179" s="18" t="s">
        <v>813</v>
      </c>
      <c r="B179" s="19" t="s">
        <v>40</v>
      </c>
      <c r="C179" s="19" t="s">
        <v>41</v>
      </c>
      <c r="D179" s="19" t="s">
        <v>814</v>
      </c>
      <c r="E179" s="19" t="s">
        <v>258</v>
      </c>
      <c r="F179" s="20"/>
      <c r="G179" s="21" t="s">
        <v>815</v>
      </c>
      <c r="H179" s="22" t="s">
        <v>816</v>
      </c>
      <c r="I179" s="19" t="s">
        <v>83</v>
      </c>
      <c r="J179" s="210"/>
      <c r="K179" s="250"/>
      <c r="L179" s="251"/>
      <c r="M179" s="252"/>
      <c r="N179" s="253"/>
      <c r="O179" s="252"/>
      <c r="P179" s="254"/>
      <c r="Q179" s="418"/>
      <c r="R179" s="419"/>
      <c r="S179" s="420"/>
      <c r="T179" s="421"/>
      <c r="U179" s="420"/>
      <c r="V179" s="422"/>
      <c r="W179" s="597"/>
      <c r="X179" s="598"/>
      <c r="Y179" s="599"/>
      <c r="Z179" s="600"/>
      <c r="AA179" s="599"/>
      <c r="AB179" s="601"/>
      <c r="AC179" s="781"/>
      <c r="AD179" s="782"/>
      <c r="AE179" s="783"/>
      <c r="AF179" s="784"/>
      <c r="AG179" s="783"/>
      <c r="AH179" s="957"/>
      <c r="AI179" s="913" t="s">
        <v>817</v>
      </c>
    </row>
    <row r="180" spans="1:35" ht="26.25" x14ac:dyDescent="0.25">
      <c r="A180" s="18" t="s">
        <v>818</v>
      </c>
      <c r="B180" s="19" t="s">
        <v>40</v>
      </c>
      <c r="C180" s="19" t="s">
        <v>41</v>
      </c>
      <c r="D180" s="19" t="s">
        <v>814</v>
      </c>
      <c r="E180" s="19" t="s">
        <v>819</v>
      </c>
      <c r="F180" s="20"/>
      <c r="G180" s="21" t="s">
        <v>820</v>
      </c>
      <c r="H180" s="22" t="s">
        <v>821</v>
      </c>
      <c r="I180" s="19" t="s">
        <v>822</v>
      </c>
      <c r="J180" s="210"/>
      <c r="K180" s="250"/>
      <c r="L180" s="251"/>
      <c r="M180" s="252"/>
      <c r="N180" s="253"/>
      <c r="O180" s="252"/>
      <c r="P180" s="254"/>
      <c r="Q180" s="418"/>
      <c r="R180" s="419"/>
      <c r="S180" s="420"/>
      <c r="T180" s="421"/>
      <c r="U180" s="420"/>
      <c r="V180" s="422"/>
      <c r="W180" s="597"/>
      <c r="X180" s="598"/>
      <c r="Y180" s="599"/>
      <c r="Z180" s="600"/>
      <c r="AA180" s="599"/>
      <c r="AB180" s="601"/>
      <c r="AC180" s="781"/>
      <c r="AD180" s="782"/>
      <c r="AE180" s="783"/>
      <c r="AF180" s="784"/>
      <c r="AG180" s="783"/>
      <c r="AH180" s="957"/>
      <c r="AI180" s="913" t="s">
        <v>823</v>
      </c>
    </row>
    <row r="181" spans="1:35" ht="39" x14ac:dyDescent="0.25">
      <c r="A181" s="18" t="s">
        <v>824</v>
      </c>
      <c r="B181" s="19" t="s">
        <v>40</v>
      </c>
      <c r="C181" s="19" t="s">
        <v>41</v>
      </c>
      <c r="D181" s="19" t="s">
        <v>814</v>
      </c>
      <c r="E181" s="19" t="s">
        <v>49</v>
      </c>
      <c r="F181" s="20"/>
      <c r="G181" s="21" t="s">
        <v>825</v>
      </c>
      <c r="H181" s="22" t="s">
        <v>791</v>
      </c>
      <c r="I181" s="19" t="s">
        <v>822</v>
      </c>
      <c r="J181" s="210"/>
      <c r="K181" s="250"/>
      <c r="L181" s="251"/>
      <c r="M181" s="252"/>
      <c r="N181" s="253"/>
      <c r="O181" s="252"/>
      <c r="P181" s="254"/>
      <c r="Q181" s="418"/>
      <c r="R181" s="419"/>
      <c r="S181" s="420"/>
      <c r="T181" s="421"/>
      <c r="U181" s="420"/>
      <c r="V181" s="422"/>
      <c r="W181" s="597"/>
      <c r="X181" s="598"/>
      <c r="Y181" s="599"/>
      <c r="Z181" s="600"/>
      <c r="AA181" s="599"/>
      <c r="AB181" s="601"/>
      <c r="AC181" s="781"/>
      <c r="AD181" s="782"/>
      <c r="AE181" s="783"/>
      <c r="AF181" s="784"/>
      <c r="AG181" s="783"/>
      <c r="AH181" s="957"/>
      <c r="AI181" s="913" t="s">
        <v>826</v>
      </c>
    </row>
    <row r="182" spans="1:35" ht="39" x14ac:dyDescent="0.25">
      <c r="A182" s="18" t="s">
        <v>827</v>
      </c>
      <c r="B182" s="19" t="s">
        <v>40</v>
      </c>
      <c r="C182" s="19" t="s">
        <v>41</v>
      </c>
      <c r="D182" s="19" t="s">
        <v>814</v>
      </c>
      <c r="E182" s="19" t="s">
        <v>828</v>
      </c>
      <c r="F182" s="20"/>
      <c r="G182" s="21" t="s">
        <v>829</v>
      </c>
      <c r="H182" s="22" t="s">
        <v>621</v>
      </c>
      <c r="I182" s="19" t="s">
        <v>822</v>
      </c>
      <c r="J182" s="210"/>
      <c r="K182" s="250"/>
      <c r="L182" s="251"/>
      <c r="M182" s="252"/>
      <c r="N182" s="253"/>
      <c r="O182" s="252"/>
      <c r="P182" s="254"/>
      <c r="Q182" s="418"/>
      <c r="R182" s="419"/>
      <c r="S182" s="420"/>
      <c r="T182" s="421"/>
      <c r="U182" s="420"/>
      <c r="V182" s="422"/>
      <c r="W182" s="597"/>
      <c r="X182" s="598"/>
      <c r="Y182" s="599"/>
      <c r="Z182" s="600"/>
      <c r="AA182" s="599"/>
      <c r="AB182" s="601"/>
      <c r="AC182" s="781"/>
      <c r="AD182" s="782"/>
      <c r="AE182" s="783"/>
      <c r="AF182" s="784"/>
      <c r="AG182" s="783"/>
      <c r="AH182" s="957"/>
      <c r="AI182" s="913" t="s">
        <v>830</v>
      </c>
    </row>
    <row r="183" spans="1:35" ht="39" x14ac:dyDescent="0.25">
      <c r="A183" s="18" t="s">
        <v>831</v>
      </c>
      <c r="B183" s="19" t="s">
        <v>40</v>
      </c>
      <c r="C183" s="19" t="s">
        <v>41</v>
      </c>
      <c r="D183" s="19" t="s">
        <v>814</v>
      </c>
      <c r="E183" s="19" t="s">
        <v>92</v>
      </c>
      <c r="F183" s="20"/>
      <c r="G183" s="21" t="s">
        <v>832</v>
      </c>
      <c r="H183" s="22" t="s">
        <v>621</v>
      </c>
      <c r="I183" s="19" t="s">
        <v>822</v>
      </c>
      <c r="J183" s="210"/>
      <c r="K183" s="250"/>
      <c r="L183" s="251"/>
      <c r="M183" s="252"/>
      <c r="N183" s="253"/>
      <c r="O183" s="252"/>
      <c r="P183" s="254"/>
      <c r="Q183" s="418"/>
      <c r="R183" s="419"/>
      <c r="S183" s="420"/>
      <c r="T183" s="421"/>
      <c r="U183" s="420"/>
      <c r="V183" s="422"/>
      <c r="W183" s="597"/>
      <c r="X183" s="598"/>
      <c r="Y183" s="599"/>
      <c r="Z183" s="600"/>
      <c r="AA183" s="599"/>
      <c r="AB183" s="601"/>
      <c r="AC183" s="781"/>
      <c r="AD183" s="782"/>
      <c r="AE183" s="783"/>
      <c r="AF183" s="784"/>
      <c r="AG183" s="783"/>
      <c r="AH183" s="957"/>
      <c r="AI183" s="913" t="s">
        <v>95</v>
      </c>
    </row>
    <row r="184" spans="1:35" ht="26.25" x14ac:dyDescent="0.25">
      <c r="A184" s="18" t="s">
        <v>833</v>
      </c>
      <c r="B184" s="19" t="s">
        <v>40</v>
      </c>
      <c r="C184" s="19" t="s">
        <v>41</v>
      </c>
      <c r="D184" s="19" t="s">
        <v>814</v>
      </c>
      <c r="E184" s="19" t="s">
        <v>211</v>
      </c>
      <c r="F184" s="20"/>
      <c r="G184" s="21" t="s">
        <v>834</v>
      </c>
      <c r="H184" s="22" t="s">
        <v>761</v>
      </c>
      <c r="I184" s="19" t="s">
        <v>822</v>
      </c>
      <c r="J184" s="210"/>
      <c r="K184" s="250"/>
      <c r="L184" s="251"/>
      <c r="M184" s="252"/>
      <c r="N184" s="253"/>
      <c r="O184" s="252"/>
      <c r="P184" s="254"/>
      <c r="Q184" s="418"/>
      <c r="R184" s="419"/>
      <c r="S184" s="420"/>
      <c r="T184" s="421"/>
      <c r="U184" s="420"/>
      <c r="V184" s="422"/>
      <c r="W184" s="597"/>
      <c r="X184" s="598"/>
      <c r="Y184" s="599"/>
      <c r="Z184" s="600"/>
      <c r="AA184" s="599"/>
      <c r="AB184" s="601"/>
      <c r="AC184" s="781"/>
      <c r="AD184" s="782"/>
      <c r="AE184" s="783"/>
      <c r="AF184" s="784"/>
      <c r="AG184" s="783"/>
      <c r="AH184" s="957"/>
      <c r="AI184" s="913" t="s">
        <v>835</v>
      </c>
    </row>
    <row r="185" spans="1:35" ht="26.25" x14ac:dyDescent="0.25">
      <c r="A185" s="18" t="s">
        <v>836</v>
      </c>
      <c r="B185" s="19" t="s">
        <v>40</v>
      </c>
      <c r="C185" s="19" t="s">
        <v>41</v>
      </c>
      <c r="D185" s="19" t="s">
        <v>814</v>
      </c>
      <c r="E185" s="19" t="s">
        <v>837</v>
      </c>
      <c r="F185" s="20"/>
      <c r="G185" s="21" t="s">
        <v>838</v>
      </c>
      <c r="H185" s="18" t="s">
        <v>839</v>
      </c>
      <c r="I185" s="19" t="s">
        <v>89</v>
      </c>
      <c r="J185" s="210"/>
      <c r="K185" s="250"/>
      <c r="L185" s="251"/>
      <c r="M185" s="252"/>
      <c r="N185" s="253"/>
      <c r="O185" s="252"/>
      <c r="P185" s="254"/>
      <c r="Q185" s="418"/>
      <c r="R185" s="419"/>
      <c r="S185" s="420"/>
      <c r="T185" s="421"/>
      <c r="U185" s="420"/>
      <c r="V185" s="422"/>
      <c r="W185" s="597"/>
      <c r="X185" s="598"/>
      <c r="Y185" s="599"/>
      <c r="Z185" s="600"/>
      <c r="AA185" s="599"/>
      <c r="AB185" s="601"/>
      <c r="AC185" s="781"/>
      <c r="AD185" s="782"/>
      <c r="AE185" s="783"/>
      <c r="AF185" s="784"/>
      <c r="AG185" s="783"/>
      <c r="AH185" s="957"/>
      <c r="AI185" s="913" t="s">
        <v>817</v>
      </c>
    </row>
    <row r="186" spans="1:35" ht="39" x14ac:dyDescent="0.25">
      <c r="A186" s="18" t="s">
        <v>840</v>
      </c>
      <c r="B186" s="19" t="s">
        <v>40</v>
      </c>
      <c r="C186" s="19" t="s">
        <v>41</v>
      </c>
      <c r="D186" s="19" t="s">
        <v>814</v>
      </c>
      <c r="E186" s="19" t="s">
        <v>841</v>
      </c>
      <c r="F186" s="20"/>
      <c r="G186" s="21" t="s">
        <v>842</v>
      </c>
      <c r="H186" s="22" t="s">
        <v>621</v>
      </c>
      <c r="I186" s="19" t="s">
        <v>89</v>
      </c>
      <c r="J186" s="210"/>
      <c r="K186" s="250"/>
      <c r="L186" s="251"/>
      <c r="M186" s="252"/>
      <c r="N186" s="253"/>
      <c r="O186" s="252"/>
      <c r="P186" s="254"/>
      <c r="Q186" s="418"/>
      <c r="R186" s="419"/>
      <c r="S186" s="420"/>
      <c r="T186" s="421"/>
      <c r="U186" s="420"/>
      <c r="V186" s="422"/>
      <c r="W186" s="597"/>
      <c r="X186" s="598"/>
      <c r="Y186" s="599"/>
      <c r="Z186" s="600"/>
      <c r="AA186" s="599"/>
      <c r="AB186" s="601"/>
      <c r="AC186" s="781"/>
      <c r="AD186" s="782"/>
      <c r="AE186" s="783"/>
      <c r="AF186" s="784"/>
      <c r="AG186" s="783"/>
      <c r="AH186" s="957"/>
      <c r="AI186" s="913" t="s">
        <v>843</v>
      </c>
    </row>
    <row r="187" spans="1:35" ht="26.25" x14ac:dyDescent="0.25">
      <c r="A187" s="18" t="s">
        <v>844</v>
      </c>
      <c r="B187" s="19" t="s">
        <v>40</v>
      </c>
      <c r="C187" s="19" t="s">
        <v>41</v>
      </c>
      <c r="D187" s="19" t="s">
        <v>814</v>
      </c>
      <c r="E187" s="19" t="s">
        <v>274</v>
      </c>
      <c r="F187" s="20"/>
      <c r="G187" s="21" t="s">
        <v>845</v>
      </c>
      <c r="H187" s="22" t="s">
        <v>791</v>
      </c>
      <c r="I187" s="19" t="s">
        <v>89</v>
      </c>
      <c r="J187" s="210"/>
      <c r="K187" s="250"/>
      <c r="L187" s="251"/>
      <c r="M187" s="252"/>
      <c r="N187" s="253"/>
      <c r="O187" s="252"/>
      <c r="P187" s="254"/>
      <c r="Q187" s="418"/>
      <c r="R187" s="419"/>
      <c r="S187" s="420"/>
      <c r="T187" s="421"/>
      <c r="U187" s="420"/>
      <c r="V187" s="422"/>
      <c r="W187" s="597"/>
      <c r="X187" s="598"/>
      <c r="Y187" s="599"/>
      <c r="Z187" s="600"/>
      <c r="AA187" s="599"/>
      <c r="AB187" s="601"/>
      <c r="AC187" s="781"/>
      <c r="AD187" s="782"/>
      <c r="AE187" s="783"/>
      <c r="AF187" s="784"/>
      <c r="AG187" s="783"/>
      <c r="AH187" s="957"/>
      <c r="AI187" s="913" t="s">
        <v>846</v>
      </c>
    </row>
    <row r="188" spans="1:35" ht="39" x14ac:dyDescent="0.25">
      <c r="A188" s="18" t="s">
        <v>847</v>
      </c>
      <c r="B188" s="19" t="s">
        <v>40</v>
      </c>
      <c r="C188" s="19" t="s">
        <v>41</v>
      </c>
      <c r="D188" s="19" t="s">
        <v>814</v>
      </c>
      <c r="E188" s="19" t="s">
        <v>848</v>
      </c>
      <c r="F188" s="20"/>
      <c r="G188" s="21" t="s">
        <v>849</v>
      </c>
      <c r="H188" s="22" t="s">
        <v>761</v>
      </c>
      <c r="I188" s="19" t="s">
        <v>89</v>
      </c>
      <c r="J188" s="210"/>
      <c r="K188" s="250"/>
      <c r="L188" s="251"/>
      <c r="M188" s="252"/>
      <c r="N188" s="253"/>
      <c r="O188" s="252"/>
      <c r="P188" s="254"/>
      <c r="Q188" s="418"/>
      <c r="R188" s="419"/>
      <c r="S188" s="420"/>
      <c r="T188" s="421"/>
      <c r="U188" s="420"/>
      <c r="V188" s="422"/>
      <c r="W188" s="597"/>
      <c r="X188" s="598"/>
      <c r="Y188" s="599"/>
      <c r="Z188" s="600"/>
      <c r="AA188" s="599"/>
      <c r="AB188" s="601"/>
      <c r="AC188" s="781"/>
      <c r="AD188" s="782"/>
      <c r="AE188" s="783"/>
      <c r="AF188" s="784"/>
      <c r="AG188" s="783"/>
      <c r="AH188" s="957"/>
      <c r="AI188" s="913" t="s">
        <v>850</v>
      </c>
    </row>
    <row r="189" spans="1:35" ht="26.25" x14ac:dyDescent="0.25">
      <c r="A189" s="18" t="s">
        <v>851</v>
      </c>
      <c r="B189" s="19" t="s">
        <v>40</v>
      </c>
      <c r="C189" s="19" t="s">
        <v>41</v>
      </c>
      <c r="D189" s="19" t="s">
        <v>814</v>
      </c>
      <c r="E189" s="19" t="s">
        <v>852</v>
      </c>
      <c r="F189" s="20"/>
      <c r="G189" s="21" t="s">
        <v>853</v>
      </c>
      <c r="H189" s="22" t="s">
        <v>169</v>
      </c>
      <c r="I189" s="19" t="s">
        <v>89</v>
      </c>
      <c r="J189" s="210"/>
      <c r="K189" s="250"/>
      <c r="L189" s="251"/>
      <c r="M189" s="252"/>
      <c r="N189" s="253"/>
      <c r="O189" s="252"/>
      <c r="P189" s="254"/>
      <c r="Q189" s="418"/>
      <c r="R189" s="419"/>
      <c r="S189" s="420"/>
      <c r="T189" s="421"/>
      <c r="U189" s="420"/>
      <c r="V189" s="422"/>
      <c r="W189" s="597"/>
      <c r="X189" s="598"/>
      <c r="Y189" s="599"/>
      <c r="Z189" s="600"/>
      <c r="AA189" s="599"/>
      <c r="AB189" s="601"/>
      <c r="AC189" s="781"/>
      <c r="AD189" s="782"/>
      <c r="AE189" s="783"/>
      <c r="AF189" s="784"/>
      <c r="AG189" s="783"/>
      <c r="AH189" s="957"/>
      <c r="AI189" s="913" t="s">
        <v>854</v>
      </c>
    </row>
    <row r="190" spans="1:35" ht="26.25" x14ac:dyDescent="0.25">
      <c r="A190" s="18" t="s">
        <v>855</v>
      </c>
      <c r="B190" s="19" t="s">
        <v>40</v>
      </c>
      <c r="C190" s="19" t="s">
        <v>41</v>
      </c>
      <c r="D190" s="19" t="s">
        <v>814</v>
      </c>
      <c r="E190" s="19" t="s">
        <v>856</v>
      </c>
      <c r="F190" s="20"/>
      <c r="G190" s="21" t="s">
        <v>857</v>
      </c>
      <c r="H190" s="22" t="s">
        <v>858</v>
      </c>
      <c r="I190" s="19" t="s">
        <v>89</v>
      </c>
      <c r="J190" s="210"/>
      <c r="K190" s="250"/>
      <c r="L190" s="251"/>
      <c r="M190" s="252"/>
      <c r="N190" s="253"/>
      <c r="O190" s="252"/>
      <c r="P190" s="254"/>
      <c r="Q190" s="418"/>
      <c r="R190" s="419"/>
      <c r="S190" s="420"/>
      <c r="T190" s="421"/>
      <c r="U190" s="420"/>
      <c r="V190" s="422"/>
      <c r="W190" s="597"/>
      <c r="X190" s="598"/>
      <c r="Y190" s="599"/>
      <c r="Z190" s="600"/>
      <c r="AA190" s="599"/>
      <c r="AB190" s="601"/>
      <c r="AC190" s="781"/>
      <c r="AD190" s="782"/>
      <c r="AE190" s="783"/>
      <c r="AF190" s="784"/>
      <c r="AG190" s="783"/>
      <c r="AH190" s="957"/>
      <c r="AI190" s="913" t="s">
        <v>859</v>
      </c>
    </row>
    <row r="191" spans="1:35" ht="39" x14ac:dyDescent="0.25">
      <c r="A191" s="18" t="s">
        <v>860</v>
      </c>
      <c r="B191" s="19" t="s">
        <v>40</v>
      </c>
      <c r="C191" s="19" t="s">
        <v>41</v>
      </c>
      <c r="D191" s="19" t="s">
        <v>814</v>
      </c>
      <c r="E191" s="19" t="s">
        <v>216</v>
      </c>
      <c r="F191" s="20"/>
      <c r="G191" s="21" t="s">
        <v>861</v>
      </c>
      <c r="H191" s="22" t="s">
        <v>706</v>
      </c>
      <c r="I191" s="19" t="s">
        <v>89</v>
      </c>
      <c r="J191" s="210"/>
      <c r="K191" s="250"/>
      <c r="L191" s="251"/>
      <c r="M191" s="252"/>
      <c r="N191" s="253"/>
      <c r="O191" s="252"/>
      <c r="P191" s="254"/>
      <c r="Q191" s="418"/>
      <c r="R191" s="419"/>
      <c r="S191" s="420"/>
      <c r="T191" s="421"/>
      <c r="U191" s="420"/>
      <c r="V191" s="422"/>
      <c r="W191" s="597"/>
      <c r="X191" s="598"/>
      <c r="Y191" s="599"/>
      <c r="Z191" s="600"/>
      <c r="AA191" s="599"/>
      <c r="AB191" s="601"/>
      <c r="AC191" s="781"/>
      <c r="AD191" s="782"/>
      <c r="AE191" s="783"/>
      <c r="AF191" s="784"/>
      <c r="AG191" s="783"/>
      <c r="AH191" s="957"/>
      <c r="AI191" s="913" t="s">
        <v>862</v>
      </c>
    </row>
    <row r="192" spans="1:35" ht="26.25" x14ac:dyDescent="0.25">
      <c r="A192" s="18" t="s">
        <v>863</v>
      </c>
      <c r="B192" s="19" t="s">
        <v>40</v>
      </c>
      <c r="C192" s="19" t="s">
        <v>41</v>
      </c>
      <c r="D192" s="19" t="s">
        <v>814</v>
      </c>
      <c r="E192" s="19" t="s">
        <v>864</v>
      </c>
      <c r="F192" s="20"/>
      <c r="G192" s="21" t="s">
        <v>865</v>
      </c>
      <c r="H192" s="22" t="s">
        <v>821</v>
      </c>
      <c r="I192" s="19" t="s">
        <v>89</v>
      </c>
      <c r="J192" s="210"/>
      <c r="K192" s="250"/>
      <c r="L192" s="251"/>
      <c r="M192" s="252"/>
      <c r="N192" s="253"/>
      <c r="O192" s="252"/>
      <c r="P192" s="254"/>
      <c r="Q192" s="418"/>
      <c r="R192" s="419"/>
      <c r="S192" s="420"/>
      <c r="T192" s="421"/>
      <c r="U192" s="420"/>
      <c r="V192" s="422"/>
      <c r="W192" s="597"/>
      <c r="X192" s="598"/>
      <c r="Y192" s="599"/>
      <c r="Z192" s="600"/>
      <c r="AA192" s="599"/>
      <c r="AB192" s="601"/>
      <c r="AC192" s="781"/>
      <c r="AD192" s="782"/>
      <c r="AE192" s="783"/>
      <c r="AF192" s="784"/>
      <c r="AG192" s="783"/>
      <c r="AH192" s="957"/>
      <c r="AI192" s="913" t="s">
        <v>817</v>
      </c>
    </row>
    <row r="193" spans="1:35" ht="39" x14ac:dyDescent="0.25">
      <c r="A193" s="18" t="s">
        <v>866</v>
      </c>
      <c r="B193" s="19" t="s">
        <v>40</v>
      </c>
      <c r="C193" s="19" t="s">
        <v>41</v>
      </c>
      <c r="D193" s="19" t="s">
        <v>814</v>
      </c>
      <c r="E193" s="19" t="s">
        <v>867</v>
      </c>
      <c r="F193" s="20"/>
      <c r="G193" s="21" t="s">
        <v>868</v>
      </c>
      <c r="H193" s="22" t="s">
        <v>174</v>
      </c>
      <c r="I193" s="19" t="s">
        <v>89</v>
      </c>
      <c r="J193" s="210"/>
      <c r="K193" s="250"/>
      <c r="L193" s="251"/>
      <c r="M193" s="252"/>
      <c r="N193" s="253"/>
      <c r="O193" s="252"/>
      <c r="P193" s="254"/>
      <c r="Q193" s="418"/>
      <c r="R193" s="419"/>
      <c r="S193" s="420"/>
      <c r="T193" s="421"/>
      <c r="U193" s="420"/>
      <c r="V193" s="422"/>
      <c r="W193" s="597"/>
      <c r="X193" s="598"/>
      <c r="Y193" s="599"/>
      <c r="Z193" s="600"/>
      <c r="AA193" s="599"/>
      <c r="AB193" s="601"/>
      <c r="AC193" s="781"/>
      <c r="AD193" s="782"/>
      <c r="AE193" s="783"/>
      <c r="AF193" s="784"/>
      <c r="AG193" s="783"/>
      <c r="AH193" s="957"/>
      <c r="AI193" s="913" t="s">
        <v>862</v>
      </c>
    </row>
    <row r="194" spans="1:35" ht="39" x14ac:dyDescent="0.25">
      <c r="A194" s="18" t="s">
        <v>869</v>
      </c>
      <c r="B194" s="19" t="s">
        <v>40</v>
      </c>
      <c r="C194" s="19" t="s">
        <v>41</v>
      </c>
      <c r="D194" s="19" t="s">
        <v>814</v>
      </c>
      <c r="E194" s="19" t="s">
        <v>870</v>
      </c>
      <c r="F194" s="20"/>
      <c r="G194" s="21" t="s">
        <v>871</v>
      </c>
      <c r="H194" s="18" t="s">
        <v>872</v>
      </c>
      <c r="I194" s="19" t="s">
        <v>83</v>
      </c>
      <c r="J194" s="210"/>
      <c r="K194" s="250"/>
      <c r="L194" s="251"/>
      <c r="M194" s="252"/>
      <c r="N194" s="253"/>
      <c r="O194" s="252"/>
      <c r="P194" s="254"/>
      <c r="Q194" s="418"/>
      <c r="R194" s="419"/>
      <c r="S194" s="420"/>
      <c r="T194" s="421"/>
      <c r="U194" s="420"/>
      <c r="V194" s="422"/>
      <c r="W194" s="597"/>
      <c r="X194" s="598"/>
      <c r="Y194" s="599"/>
      <c r="Z194" s="600"/>
      <c r="AA194" s="599"/>
      <c r="AB194" s="601"/>
      <c r="AC194" s="781"/>
      <c r="AD194" s="782"/>
      <c r="AE194" s="783"/>
      <c r="AF194" s="784"/>
      <c r="AG194" s="783"/>
      <c r="AH194" s="957"/>
      <c r="AI194" s="913" t="s">
        <v>854</v>
      </c>
    </row>
    <row r="195" spans="1:35" ht="39" x14ac:dyDescent="0.25">
      <c r="A195" s="18" t="s">
        <v>873</v>
      </c>
      <c r="B195" s="19" t="s">
        <v>40</v>
      </c>
      <c r="C195" s="19" t="s">
        <v>41</v>
      </c>
      <c r="D195" s="19" t="s">
        <v>814</v>
      </c>
      <c r="E195" s="19" t="s">
        <v>874</v>
      </c>
      <c r="F195" s="20"/>
      <c r="G195" s="21" t="s">
        <v>875</v>
      </c>
      <c r="H195" s="22" t="s">
        <v>876</v>
      </c>
      <c r="I195" s="19" t="s">
        <v>89</v>
      </c>
      <c r="J195" s="210"/>
      <c r="K195" s="250"/>
      <c r="L195" s="251"/>
      <c r="M195" s="252"/>
      <c r="N195" s="253"/>
      <c r="O195" s="252"/>
      <c r="P195" s="254"/>
      <c r="Q195" s="418"/>
      <c r="R195" s="419"/>
      <c r="S195" s="420"/>
      <c r="T195" s="421"/>
      <c r="U195" s="420"/>
      <c r="V195" s="422"/>
      <c r="W195" s="597"/>
      <c r="X195" s="598"/>
      <c r="Y195" s="599"/>
      <c r="Z195" s="600"/>
      <c r="AA195" s="599"/>
      <c r="AB195" s="601"/>
      <c r="AC195" s="781"/>
      <c r="AD195" s="782"/>
      <c r="AE195" s="783"/>
      <c r="AF195" s="784"/>
      <c r="AG195" s="783"/>
      <c r="AH195" s="957"/>
      <c r="AI195" s="913" t="s">
        <v>854</v>
      </c>
    </row>
    <row r="196" spans="1:35" ht="26.25" x14ac:dyDescent="0.25">
      <c r="A196" s="18" t="s">
        <v>877</v>
      </c>
      <c r="B196" s="19" t="s">
        <v>40</v>
      </c>
      <c r="C196" s="19" t="s">
        <v>41</v>
      </c>
      <c r="D196" s="19" t="s">
        <v>814</v>
      </c>
      <c r="E196" s="19" t="s">
        <v>878</v>
      </c>
      <c r="F196" s="20"/>
      <c r="G196" s="21" t="s">
        <v>879</v>
      </c>
      <c r="H196" s="22" t="s">
        <v>880</v>
      </c>
      <c r="I196" s="19" t="s">
        <v>89</v>
      </c>
      <c r="J196" s="210"/>
      <c r="K196" s="250"/>
      <c r="L196" s="251"/>
      <c r="M196" s="252"/>
      <c r="N196" s="253"/>
      <c r="O196" s="252"/>
      <c r="P196" s="254"/>
      <c r="Q196" s="418"/>
      <c r="R196" s="419"/>
      <c r="S196" s="420"/>
      <c r="T196" s="421"/>
      <c r="U196" s="420"/>
      <c r="V196" s="422"/>
      <c r="W196" s="597"/>
      <c r="X196" s="598"/>
      <c r="Y196" s="599"/>
      <c r="Z196" s="600"/>
      <c r="AA196" s="599"/>
      <c r="AB196" s="601"/>
      <c r="AC196" s="781"/>
      <c r="AD196" s="782"/>
      <c r="AE196" s="783"/>
      <c r="AF196" s="784"/>
      <c r="AG196" s="783"/>
      <c r="AH196" s="957"/>
      <c r="AI196" s="913" t="s">
        <v>854</v>
      </c>
    </row>
    <row r="197" spans="1:35" ht="26.25" x14ac:dyDescent="0.25">
      <c r="A197" s="18" t="s">
        <v>881</v>
      </c>
      <c r="B197" s="19" t="s">
        <v>40</v>
      </c>
      <c r="C197" s="19" t="s">
        <v>41</v>
      </c>
      <c r="D197" s="19" t="s">
        <v>814</v>
      </c>
      <c r="E197" s="19" t="s">
        <v>882</v>
      </c>
      <c r="F197" s="20"/>
      <c r="G197" s="21" t="s">
        <v>883</v>
      </c>
      <c r="H197" s="22" t="s">
        <v>880</v>
      </c>
      <c r="I197" s="19" t="s">
        <v>89</v>
      </c>
      <c r="J197" s="210"/>
      <c r="K197" s="250"/>
      <c r="L197" s="251"/>
      <c r="M197" s="252"/>
      <c r="N197" s="253"/>
      <c r="O197" s="252"/>
      <c r="P197" s="254"/>
      <c r="Q197" s="418"/>
      <c r="R197" s="419"/>
      <c r="S197" s="420"/>
      <c r="T197" s="421"/>
      <c r="U197" s="420"/>
      <c r="V197" s="422"/>
      <c r="W197" s="597"/>
      <c r="X197" s="598"/>
      <c r="Y197" s="599"/>
      <c r="Z197" s="600"/>
      <c r="AA197" s="599"/>
      <c r="AB197" s="601"/>
      <c r="AC197" s="781"/>
      <c r="AD197" s="782"/>
      <c r="AE197" s="783"/>
      <c r="AF197" s="784"/>
      <c r="AG197" s="783"/>
      <c r="AH197" s="957"/>
      <c r="AI197" s="913" t="s">
        <v>854</v>
      </c>
    </row>
    <row r="198" spans="1:35" ht="26.25" x14ac:dyDescent="0.25">
      <c r="A198" s="18" t="s">
        <v>884</v>
      </c>
      <c r="B198" s="19" t="s">
        <v>40</v>
      </c>
      <c r="C198" s="19" t="s">
        <v>41</v>
      </c>
      <c r="D198" s="19" t="s">
        <v>814</v>
      </c>
      <c r="E198" s="19" t="s">
        <v>885</v>
      </c>
      <c r="F198" s="20"/>
      <c r="G198" s="21" t="s">
        <v>886</v>
      </c>
      <c r="H198" s="22" t="s">
        <v>206</v>
      </c>
      <c r="I198" s="19" t="s">
        <v>89</v>
      </c>
      <c r="J198" s="210"/>
      <c r="K198" s="250"/>
      <c r="L198" s="251"/>
      <c r="M198" s="252"/>
      <c r="N198" s="253"/>
      <c r="O198" s="252"/>
      <c r="P198" s="254"/>
      <c r="Q198" s="418"/>
      <c r="R198" s="419"/>
      <c r="S198" s="420"/>
      <c r="T198" s="421"/>
      <c r="U198" s="420"/>
      <c r="V198" s="422"/>
      <c r="W198" s="597"/>
      <c r="X198" s="598"/>
      <c r="Y198" s="599"/>
      <c r="Z198" s="600"/>
      <c r="AA198" s="599"/>
      <c r="AB198" s="601"/>
      <c r="AC198" s="781"/>
      <c r="AD198" s="782"/>
      <c r="AE198" s="783"/>
      <c r="AF198" s="784"/>
      <c r="AG198" s="783"/>
      <c r="AH198" s="957"/>
      <c r="AI198" s="913" t="s">
        <v>862</v>
      </c>
    </row>
    <row r="199" spans="1:35" ht="39" x14ac:dyDescent="0.25">
      <c r="A199" s="18" t="s">
        <v>887</v>
      </c>
      <c r="B199" s="19" t="s">
        <v>40</v>
      </c>
      <c r="C199" s="19" t="s">
        <v>41</v>
      </c>
      <c r="D199" s="19" t="s">
        <v>814</v>
      </c>
      <c r="E199" s="19" t="s">
        <v>888</v>
      </c>
      <c r="F199" s="20"/>
      <c r="G199" s="21" t="s">
        <v>889</v>
      </c>
      <c r="H199" s="22" t="s">
        <v>890</v>
      </c>
      <c r="I199" s="19" t="s">
        <v>160</v>
      </c>
      <c r="J199" s="210"/>
      <c r="K199" s="250"/>
      <c r="L199" s="251"/>
      <c r="M199" s="252"/>
      <c r="N199" s="253"/>
      <c r="O199" s="252"/>
      <c r="P199" s="254"/>
      <c r="Q199" s="418"/>
      <c r="R199" s="419"/>
      <c r="S199" s="420"/>
      <c r="T199" s="421"/>
      <c r="U199" s="420"/>
      <c r="V199" s="422"/>
      <c r="W199" s="597"/>
      <c r="X199" s="598"/>
      <c r="Y199" s="599"/>
      <c r="Z199" s="600"/>
      <c r="AA199" s="599"/>
      <c r="AB199" s="601"/>
      <c r="AC199" s="781"/>
      <c r="AD199" s="782"/>
      <c r="AE199" s="783"/>
      <c r="AF199" s="784"/>
      <c r="AG199" s="783"/>
      <c r="AH199" s="957"/>
      <c r="AI199" s="913" t="s">
        <v>891</v>
      </c>
    </row>
    <row r="200" spans="1:35" ht="39" x14ac:dyDescent="0.25">
      <c r="A200" s="18" t="s">
        <v>892</v>
      </c>
      <c r="B200" s="19" t="s">
        <v>40</v>
      </c>
      <c r="C200" s="19" t="s">
        <v>41</v>
      </c>
      <c r="D200" s="19" t="s">
        <v>814</v>
      </c>
      <c r="E200" s="19" t="s">
        <v>106</v>
      </c>
      <c r="F200" s="20"/>
      <c r="G200" s="21" t="s">
        <v>893</v>
      </c>
      <c r="H200" s="22" t="s">
        <v>894</v>
      </c>
      <c r="I200" s="19" t="s">
        <v>89</v>
      </c>
      <c r="J200" s="210"/>
      <c r="K200" s="250"/>
      <c r="L200" s="251"/>
      <c r="M200" s="252"/>
      <c r="N200" s="253"/>
      <c r="O200" s="252"/>
      <c r="P200" s="254"/>
      <c r="Q200" s="418"/>
      <c r="R200" s="419"/>
      <c r="S200" s="420"/>
      <c r="T200" s="421"/>
      <c r="U200" s="420"/>
      <c r="V200" s="422"/>
      <c r="W200" s="597"/>
      <c r="X200" s="598"/>
      <c r="Y200" s="599"/>
      <c r="Z200" s="600"/>
      <c r="AA200" s="599"/>
      <c r="AB200" s="601"/>
      <c r="AC200" s="781"/>
      <c r="AD200" s="782"/>
      <c r="AE200" s="783"/>
      <c r="AF200" s="784"/>
      <c r="AG200" s="783"/>
      <c r="AH200" s="957"/>
      <c r="AI200" s="913" t="s">
        <v>110</v>
      </c>
    </row>
    <row r="201" spans="1:35" ht="26.25" x14ac:dyDescent="0.25">
      <c r="A201" s="18" t="s">
        <v>895</v>
      </c>
      <c r="B201" s="19" t="s">
        <v>40</v>
      </c>
      <c r="C201" s="19" t="s">
        <v>41</v>
      </c>
      <c r="D201" s="19" t="s">
        <v>814</v>
      </c>
      <c r="E201" s="19" t="s">
        <v>282</v>
      </c>
      <c r="F201" s="20"/>
      <c r="G201" s="21" t="s">
        <v>896</v>
      </c>
      <c r="H201" s="22" t="s">
        <v>897</v>
      </c>
      <c r="I201" s="19" t="s">
        <v>89</v>
      </c>
      <c r="J201" s="210"/>
      <c r="K201" s="250"/>
      <c r="L201" s="251"/>
      <c r="M201" s="252"/>
      <c r="N201" s="253"/>
      <c r="O201" s="252"/>
      <c r="P201" s="254"/>
      <c r="Q201" s="418"/>
      <c r="R201" s="419"/>
      <c r="S201" s="420"/>
      <c r="T201" s="421"/>
      <c r="U201" s="420"/>
      <c r="V201" s="422"/>
      <c r="W201" s="597"/>
      <c r="X201" s="598"/>
      <c r="Y201" s="599"/>
      <c r="Z201" s="600"/>
      <c r="AA201" s="599"/>
      <c r="AB201" s="601"/>
      <c r="AC201" s="781"/>
      <c r="AD201" s="782"/>
      <c r="AE201" s="783"/>
      <c r="AF201" s="784"/>
      <c r="AG201" s="783"/>
      <c r="AH201" s="957"/>
      <c r="AI201" s="913" t="s">
        <v>441</v>
      </c>
    </row>
    <row r="202" spans="1:35" ht="26.25" x14ac:dyDescent="0.25">
      <c r="A202" s="18" t="s">
        <v>898</v>
      </c>
      <c r="B202" s="19" t="s">
        <v>40</v>
      </c>
      <c r="C202" s="19" t="s">
        <v>41</v>
      </c>
      <c r="D202" s="19" t="s">
        <v>814</v>
      </c>
      <c r="E202" s="19" t="s">
        <v>220</v>
      </c>
      <c r="F202" s="20"/>
      <c r="G202" s="21" t="s">
        <v>899</v>
      </c>
      <c r="H202" s="22" t="s">
        <v>897</v>
      </c>
      <c r="I202" s="19" t="s">
        <v>89</v>
      </c>
      <c r="J202" s="210"/>
      <c r="K202" s="250"/>
      <c r="L202" s="251"/>
      <c r="M202" s="252"/>
      <c r="N202" s="253"/>
      <c r="O202" s="252"/>
      <c r="P202" s="254"/>
      <c r="Q202" s="418"/>
      <c r="R202" s="419"/>
      <c r="S202" s="420"/>
      <c r="T202" s="421"/>
      <c r="U202" s="420"/>
      <c r="V202" s="422"/>
      <c r="W202" s="597"/>
      <c r="X202" s="598"/>
      <c r="Y202" s="599"/>
      <c r="Z202" s="600"/>
      <c r="AA202" s="599"/>
      <c r="AB202" s="601"/>
      <c r="AC202" s="781"/>
      <c r="AD202" s="782"/>
      <c r="AE202" s="783"/>
      <c r="AF202" s="784"/>
      <c r="AG202" s="783"/>
      <c r="AH202" s="957"/>
      <c r="AI202" s="913" t="s">
        <v>817</v>
      </c>
    </row>
    <row r="203" spans="1:35" ht="26.25" x14ac:dyDescent="0.25">
      <c r="A203" s="23" t="s">
        <v>900</v>
      </c>
      <c r="B203" s="24" t="s">
        <v>40</v>
      </c>
      <c r="C203" s="24" t="s">
        <v>41</v>
      </c>
      <c r="D203" s="24" t="s">
        <v>814</v>
      </c>
      <c r="E203" s="24"/>
      <c r="F203" s="25" t="s">
        <v>55</v>
      </c>
      <c r="G203" s="26" t="s">
        <v>901</v>
      </c>
      <c r="H203" s="72"/>
      <c r="I203" s="24"/>
      <c r="J203" s="210"/>
      <c r="K203" s="250" t="s">
        <v>631</v>
      </c>
      <c r="L203" s="251" t="s">
        <v>902</v>
      </c>
      <c r="M203" s="255">
        <f>(1051917/2000)-K203</f>
        <v>451.95849999999996</v>
      </c>
      <c r="N203" s="256">
        <f>14215/2000</f>
        <v>7.1074999999999999</v>
      </c>
      <c r="O203" s="255">
        <f>(1051917/1500)-K203</f>
        <v>627.27800000000002</v>
      </c>
      <c r="P203" s="257">
        <f>14215/1500</f>
        <v>9.4766666666666666</v>
      </c>
      <c r="Q203" s="418" t="s">
        <v>678</v>
      </c>
      <c r="R203" s="419" t="s">
        <v>679</v>
      </c>
      <c r="S203" s="439">
        <f>(578592/2000)-Q203</f>
        <v>220.29599999999999</v>
      </c>
      <c r="T203" s="440">
        <f>8385/2000</f>
        <v>4.1924999999999999</v>
      </c>
      <c r="U203" s="439">
        <f>(578509/1500)-Q203</f>
        <v>316.67266666666666</v>
      </c>
      <c r="V203" s="441">
        <f>8385/1500</f>
        <v>5.59</v>
      </c>
      <c r="W203" s="597" t="s">
        <v>70</v>
      </c>
      <c r="X203" s="598" t="s">
        <v>185</v>
      </c>
      <c r="Y203" s="604">
        <f>(189789/2000)-W203</f>
        <v>91.894499999999994</v>
      </c>
      <c r="Z203" s="605">
        <f>63263/2000</f>
        <v>31.631499999999999</v>
      </c>
      <c r="AA203" s="604">
        <f>(189789/1500)-W203</f>
        <v>123.526</v>
      </c>
      <c r="AB203" s="606">
        <f>63263/1500</f>
        <v>42.175333333333334</v>
      </c>
      <c r="AC203" s="781" t="s">
        <v>57</v>
      </c>
      <c r="AD203" s="782" t="s">
        <v>721</v>
      </c>
      <c r="AE203" s="787">
        <f>(263509/2000)-AC203</f>
        <v>129.75450000000001</v>
      </c>
      <c r="AF203" s="788">
        <f>131754/2000</f>
        <v>65.876999999999995</v>
      </c>
      <c r="AG203" s="787">
        <f>(263509/1500)-AC203</f>
        <v>173.67266666666666</v>
      </c>
      <c r="AH203" s="889">
        <f>131754/1500</f>
        <v>87.835999999999999</v>
      </c>
      <c r="AI203" s="914" t="s">
        <v>903</v>
      </c>
    </row>
    <row r="204" spans="1:35" ht="26.25" x14ac:dyDescent="0.25">
      <c r="A204" s="23" t="s">
        <v>900</v>
      </c>
      <c r="B204" s="24" t="s">
        <v>40</v>
      </c>
      <c r="C204" s="24" t="s">
        <v>41</v>
      </c>
      <c r="D204" s="24" t="s">
        <v>814</v>
      </c>
      <c r="E204" s="24"/>
      <c r="F204" s="25" t="s">
        <v>63</v>
      </c>
      <c r="G204" s="26" t="s">
        <v>901</v>
      </c>
      <c r="H204" s="72"/>
      <c r="I204" s="24"/>
      <c r="J204" s="210"/>
      <c r="K204" s="250" t="s">
        <v>904</v>
      </c>
      <c r="L204" s="251" t="s">
        <v>905</v>
      </c>
      <c r="M204" s="255">
        <f>(1051917/2000)-K204</f>
        <v>139.95849999999996</v>
      </c>
      <c r="N204" s="256">
        <f>2725/2000</f>
        <v>1.3625</v>
      </c>
      <c r="O204" s="255">
        <f>(1051917/1500)-K204</f>
        <v>315.27800000000002</v>
      </c>
      <c r="P204" s="257">
        <f>2725/1500</f>
        <v>1.8166666666666667</v>
      </c>
      <c r="Q204" s="418" t="s">
        <v>906</v>
      </c>
      <c r="R204" s="419" t="s">
        <v>907</v>
      </c>
      <c r="S204" s="467">
        <f>(578592/2000)-Q204</f>
        <v>-30.704000000000008</v>
      </c>
      <c r="T204" s="468">
        <f>1808/2000</f>
        <v>0.90400000000000003</v>
      </c>
      <c r="U204" s="467">
        <f>(578509/1500)-Q204</f>
        <v>65.672666666666657</v>
      </c>
      <c r="V204" s="469">
        <f>1808/1500</f>
        <v>1.2053333333333334</v>
      </c>
      <c r="W204" s="597" t="s">
        <v>114</v>
      </c>
      <c r="X204" s="598" t="s">
        <v>908</v>
      </c>
      <c r="Y204" s="604">
        <f>(189789/2000)-W204</f>
        <v>71.894499999999994</v>
      </c>
      <c r="Z204" s="605">
        <f>8251/2000</f>
        <v>4.1254999999999997</v>
      </c>
      <c r="AA204" s="604">
        <f>(189789/1500)-W204</f>
        <v>103.526</v>
      </c>
      <c r="AB204" s="606">
        <f>8251/15000</f>
        <v>0.5500666666666667</v>
      </c>
      <c r="AC204" s="781" t="s">
        <v>909</v>
      </c>
      <c r="AD204" s="782" t="s">
        <v>910</v>
      </c>
      <c r="AE204" s="787">
        <f>(263509/2000)-AC204</f>
        <v>88.754500000000007</v>
      </c>
      <c r="AF204" s="788">
        <f>6128/2000</f>
        <v>3.0640000000000001</v>
      </c>
      <c r="AG204" s="787">
        <f>(263509/1500)-AC204</f>
        <v>132.67266666666666</v>
      </c>
      <c r="AH204" s="889">
        <f>6128/1500</f>
        <v>4.0853333333333337</v>
      </c>
      <c r="AI204" s="914"/>
    </row>
    <row r="205" spans="1:35" ht="30" x14ac:dyDescent="0.25">
      <c r="A205" s="27" t="s">
        <v>900</v>
      </c>
      <c r="B205" s="28" t="s">
        <v>40</v>
      </c>
      <c r="C205" s="28" t="s">
        <v>41</v>
      </c>
      <c r="D205" s="28" t="s">
        <v>814</v>
      </c>
      <c r="E205" s="28"/>
      <c r="F205" s="29" t="s">
        <v>72</v>
      </c>
      <c r="G205" s="30" t="s">
        <v>901</v>
      </c>
      <c r="H205" s="74" t="s">
        <v>911</v>
      </c>
      <c r="I205" s="28" t="s">
        <v>265</v>
      </c>
      <c r="J205" s="211"/>
      <c r="K205" s="261" t="s">
        <v>912</v>
      </c>
      <c r="L205" s="262" t="s">
        <v>913</v>
      </c>
      <c r="M205" s="266">
        <f>(1051917/2000)-K205</f>
        <v>65.958499999999958</v>
      </c>
      <c r="N205" s="267">
        <f>2286/2000</f>
        <v>1.143</v>
      </c>
      <c r="O205" s="266">
        <f>(1051917/1500)-K205</f>
        <v>241.27800000000002</v>
      </c>
      <c r="P205" s="268">
        <f>2286/1500</f>
        <v>1.524</v>
      </c>
      <c r="Q205" s="431" t="s">
        <v>914</v>
      </c>
      <c r="R205" s="432" t="s">
        <v>915</v>
      </c>
      <c r="S205" s="433">
        <f>(578592/2000)-Q205</f>
        <v>-99.704000000000008</v>
      </c>
      <c r="T205" s="434">
        <f>1487/2000</f>
        <v>0.74350000000000005</v>
      </c>
      <c r="U205" s="433">
        <f>(578509/1500)-Q205</f>
        <v>-3.3273333333333426</v>
      </c>
      <c r="V205" s="435">
        <f>1487/1500</f>
        <v>0.99133333333333329</v>
      </c>
      <c r="W205" s="611" t="s">
        <v>231</v>
      </c>
      <c r="X205" s="612" t="s">
        <v>916</v>
      </c>
      <c r="Y205" s="627">
        <f>(189789/2000)-W205</f>
        <v>68.894499999999994</v>
      </c>
      <c r="Z205" s="642">
        <f>7229/2000</f>
        <v>3.6145</v>
      </c>
      <c r="AA205" s="627">
        <f>(189789/1500)-W205</f>
        <v>100.526</v>
      </c>
      <c r="AB205" s="643">
        <f>7229/1500</f>
        <v>4.8193333333333337</v>
      </c>
      <c r="AC205" s="792" t="s">
        <v>320</v>
      </c>
      <c r="AD205" s="793" t="s">
        <v>917</v>
      </c>
      <c r="AE205" s="799">
        <f>(263509/2000)-AC205</f>
        <v>86.754500000000007</v>
      </c>
      <c r="AF205" s="817">
        <f>5855/2000</f>
        <v>2.9275000000000002</v>
      </c>
      <c r="AG205" s="799">
        <f>(263509/1500)-AC205</f>
        <v>130.67266666666666</v>
      </c>
      <c r="AH205" s="968">
        <f>5855/1500</f>
        <v>3.9033333333333333</v>
      </c>
      <c r="AI205" s="915"/>
    </row>
    <row r="206" spans="1:35" ht="26.25" x14ac:dyDescent="0.25">
      <c r="A206" s="32" t="s">
        <v>918</v>
      </c>
      <c r="B206" s="33" t="s">
        <v>40</v>
      </c>
      <c r="C206" s="33" t="s">
        <v>41</v>
      </c>
      <c r="D206" s="33" t="s">
        <v>919</v>
      </c>
      <c r="E206" s="33"/>
      <c r="F206" s="34"/>
      <c r="G206" s="35" t="s">
        <v>920</v>
      </c>
      <c r="H206" s="75" t="s">
        <v>921</v>
      </c>
      <c r="I206" s="33" t="s">
        <v>89</v>
      </c>
      <c r="J206" s="210"/>
      <c r="K206" s="250"/>
      <c r="L206" s="251"/>
      <c r="M206" s="252"/>
      <c r="N206" s="253"/>
      <c r="O206" s="252"/>
      <c r="P206" s="254"/>
      <c r="Q206" s="418"/>
      <c r="R206" s="419"/>
      <c r="S206" s="420"/>
      <c r="T206" s="421"/>
      <c r="U206" s="420"/>
      <c r="V206" s="422"/>
      <c r="W206" s="597"/>
      <c r="X206" s="598"/>
      <c r="Y206" s="599"/>
      <c r="Z206" s="600"/>
      <c r="AA206" s="599"/>
      <c r="AB206" s="601"/>
      <c r="AC206" s="781"/>
      <c r="AD206" s="782"/>
      <c r="AE206" s="783"/>
      <c r="AF206" s="784"/>
      <c r="AG206" s="783"/>
      <c r="AH206" s="957"/>
      <c r="AI206" s="916" t="s">
        <v>922</v>
      </c>
    </row>
    <row r="207" spans="1:35" ht="51.75" x14ac:dyDescent="0.25">
      <c r="A207" s="18" t="s">
        <v>923</v>
      </c>
      <c r="B207" s="19" t="s">
        <v>40</v>
      </c>
      <c r="C207" s="19" t="s">
        <v>41</v>
      </c>
      <c r="D207" s="19" t="s">
        <v>924</v>
      </c>
      <c r="E207" s="19" t="s">
        <v>925</v>
      </c>
      <c r="F207" s="20"/>
      <c r="G207" s="21" t="s">
        <v>926</v>
      </c>
      <c r="H207" s="22" t="s">
        <v>872</v>
      </c>
      <c r="I207" s="19" t="s">
        <v>89</v>
      </c>
      <c r="J207" s="210"/>
      <c r="K207" s="250"/>
      <c r="L207" s="251"/>
      <c r="M207" s="252"/>
      <c r="N207" s="253"/>
      <c r="O207" s="252"/>
      <c r="P207" s="254"/>
      <c r="Q207" s="418"/>
      <c r="R207" s="419"/>
      <c r="S207" s="420"/>
      <c r="T207" s="421"/>
      <c r="U207" s="420"/>
      <c r="V207" s="422"/>
      <c r="W207" s="597"/>
      <c r="X207" s="598"/>
      <c r="Y207" s="599"/>
      <c r="Z207" s="600"/>
      <c r="AA207" s="599"/>
      <c r="AB207" s="601"/>
      <c r="AC207" s="781"/>
      <c r="AD207" s="782"/>
      <c r="AE207" s="783"/>
      <c r="AF207" s="784"/>
      <c r="AG207" s="783"/>
      <c r="AH207" s="957"/>
      <c r="AI207" s="913" t="s">
        <v>927</v>
      </c>
    </row>
    <row r="208" spans="1:35" ht="64.5" x14ac:dyDescent="0.25">
      <c r="A208" s="18" t="s">
        <v>928</v>
      </c>
      <c r="B208" s="19" t="s">
        <v>40</v>
      </c>
      <c r="C208" s="19" t="s">
        <v>41</v>
      </c>
      <c r="D208" s="19" t="s">
        <v>924</v>
      </c>
      <c r="E208" s="19" t="s">
        <v>92</v>
      </c>
      <c r="F208" s="20"/>
      <c r="G208" s="21" t="s">
        <v>929</v>
      </c>
      <c r="H208" s="22" t="s">
        <v>930</v>
      </c>
      <c r="I208" s="19" t="s">
        <v>89</v>
      </c>
      <c r="J208" s="210"/>
      <c r="K208" s="250"/>
      <c r="L208" s="251"/>
      <c r="M208" s="252"/>
      <c r="N208" s="253"/>
      <c r="O208" s="252"/>
      <c r="P208" s="254"/>
      <c r="Q208" s="418"/>
      <c r="R208" s="419"/>
      <c r="S208" s="420"/>
      <c r="T208" s="421"/>
      <c r="U208" s="420"/>
      <c r="V208" s="422"/>
      <c r="W208" s="597"/>
      <c r="X208" s="598"/>
      <c r="Y208" s="599"/>
      <c r="Z208" s="600"/>
      <c r="AA208" s="599"/>
      <c r="AB208" s="601"/>
      <c r="AC208" s="781"/>
      <c r="AD208" s="782"/>
      <c r="AE208" s="783"/>
      <c r="AF208" s="784"/>
      <c r="AG208" s="783"/>
      <c r="AH208" s="957"/>
      <c r="AI208" s="913" t="s">
        <v>95</v>
      </c>
    </row>
    <row r="209" spans="1:35" ht="64.5" x14ac:dyDescent="0.25">
      <c r="A209" s="18" t="s">
        <v>931</v>
      </c>
      <c r="B209" s="19" t="s">
        <v>40</v>
      </c>
      <c r="C209" s="19" t="s">
        <v>41</v>
      </c>
      <c r="D209" s="19" t="s">
        <v>924</v>
      </c>
      <c r="E209" s="19" t="s">
        <v>932</v>
      </c>
      <c r="F209" s="20"/>
      <c r="G209" s="21" t="s">
        <v>933</v>
      </c>
      <c r="H209" s="22" t="s">
        <v>934</v>
      </c>
      <c r="I209" s="19" t="s">
        <v>539</v>
      </c>
      <c r="J209" s="210"/>
      <c r="K209" s="250"/>
      <c r="L209" s="251"/>
      <c r="M209" s="252"/>
      <c r="N209" s="253"/>
      <c r="O209" s="252"/>
      <c r="P209" s="254"/>
      <c r="Q209" s="418"/>
      <c r="R209" s="419"/>
      <c r="S209" s="420"/>
      <c r="T209" s="421"/>
      <c r="U209" s="420"/>
      <c r="V209" s="422"/>
      <c r="W209" s="597"/>
      <c r="X209" s="598"/>
      <c r="Y209" s="599"/>
      <c r="Z209" s="600"/>
      <c r="AA209" s="599"/>
      <c r="AB209" s="601"/>
      <c r="AC209" s="781"/>
      <c r="AD209" s="782"/>
      <c r="AE209" s="783"/>
      <c r="AF209" s="784"/>
      <c r="AG209" s="783"/>
      <c r="AH209" s="957"/>
      <c r="AI209" s="913" t="s">
        <v>935</v>
      </c>
    </row>
    <row r="210" spans="1:35" ht="51.75" x14ac:dyDescent="0.25">
      <c r="A210" s="18" t="s">
        <v>936</v>
      </c>
      <c r="B210" s="19" t="s">
        <v>40</v>
      </c>
      <c r="C210" s="19" t="s">
        <v>41</v>
      </c>
      <c r="D210" s="19" t="s">
        <v>924</v>
      </c>
      <c r="E210" s="19" t="s">
        <v>97</v>
      </c>
      <c r="F210" s="20"/>
      <c r="G210" s="21" t="s">
        <v>937</v>
      </c>
      <c r="H210" s="18" t="s">
        <v>938</v>
      </c>
      <c r="I210" s="19" t="s">
        <v>608</v>
      </c>
      <c r="J210" s="210"/>
      <c r="K210" s="250"/>
      <c r="L210" s="251"/>
      <c r="M210" s="252"/>
      <c r="N210" s="253"/>
      <c r="O210" s="252"/>
      <c r="P210" s="254"/>
      <c r="Q210" s="418"/>
      <c r="R210" s="419"/>
      <c r="S210" s="420"/>
      <c r="T210" s="421"/>
      <c r="U210" s="420"/>
      <c r="V210" s="422"/>
      <c r="W210" s="597"/>
      <c r="X210" s="598"/>
      <c r="Y210" s="599"/>
      <c r="Z210" s="600"/>
      <c r="AA210" s="599"/>
      <c r="AB210" s="601"/>
      <c r="AC210" s="781"/>
      <c r="AD210" s="782"/>
      <c r="AE210" s="783"/>
      <c r="AF210" s="784"/>
      <c r="AG210" s="783"/>
      <c r="AH210" s="957"/>
      <c r="AI210" s="913" t="s">
        <v>939</v>
      </c>
    </row>
    <row r="211" spans="1:35" ht="39" x14ac:dyDescent="0.25">
      <c r="A211" s="18" t="s">
        <v>940</v>
      </c>
      <c r="B211" s="19" t="s">
        <v>40</v>
      </c>
      <c r="C211" s="19" t="s">
        <v>41</v>
      </c>
      <c r="D211" s="19" t="s">
        <v>924</v>
      </c>
      <c r="E211" s="19" t="s">
        <v>941</v>
      </c>
      <c r="F211" s="20"/>
      <c r="G211" s="21" t="s">
        <v>942</v>
      </c>
      <c r="H211" s="22" t="s">
        <v>821</v>
      </c>
      <c r="I211" s="19" t="s">
        <v>943</v>
      </c>
      <c r="J211" s="210"/>
      <c r="K211" s="250"/>
      <c r="L211" s="251"/>
      <c r="M211" s="252"/>
      <c r="N211" s="253"/>
      <c r="O211" s="252"/>
      <c r="P211" s="254"/>
      <c r="Q211" s="418"/>
      <c r="R211" s="419"/>
      <c r="S211" s="420"/>
      <c r="T211" s="421"/>
      <c r="U211" s="420"/>
      <c r="V211" s="422"/>
      <c r="W211" s="597"/>
      <c r="X211" s="598"/>
      <c r="Y211" s="599"/>
      <c r="Z211" s="600"/>
      <c r="AA211" s="599"/>
      <c r="AB211" s="601"/>
      <c r="AC211" s="781"/>
      <c r="AD211" s="782"/>
      <c r="AE211" s="783"/>
      <c r="AF211" s="784"/>
      <c r="AG211" s="783"/>
      <c r="AH211" s="957"/>
      <c r="AI211" s="913" t="s">
        <v>944</v>
      </c>
    </row>
    <row r="212" spans="1:35" ht="26.25" x14ac:dyDescent="0.25">
      <c r="A212" s="18" t="s">
        <v>945</v>
      </c>
      <c r="B212" s="19" t="s">
        <v>40</v>
      </c>
      <c r="C212" s="19" t="s">
        <v>41</v>
      </c>
      <c r="D212" s="19" t="s">
        <v>924</v>
      </c>
      <c r="E212" s="19" t="s">
        <v>946</v>
      </c>
      <c r="F212" s="20"/>
      <c r="G212" s="21" t="s">
        <v>947</v>
      </c>
      <c r="H212" s="22" t="s">
        <v>206</v>
      </c>
      <c r="I212" s="19" t="s">
        <v>948</v>
      </c>
      <c r="J212" s="210"/>
      <c r="K212" s="250"/>
      <c r="L212" s="251"/>
      <c r="M212" s="252"/>
      <c r="N212" s="253"/>
      <c r="O212" s="252"/>
      <c r="P212" s="254"/>
      <c r="Q212" s="418"/>
      <c r="R212" s="419"/>
      <c r="S212" s="420"/>
      <c r="T212" s="421"/>
      <c r="U212" s="420"/>
      <c r="V212" s="422"/>
      <c r="W212" s="597"/>
      <c r="X212" s="598"/>
      <c r="Y212" s="599"/>
      <c r="Z212" s="600"/>
      <c r="AA212" s="599"/>
      <c r="AB212" s="601"/>
      <c r="AC212" s="781"/>
      <c r="AD212" s="782"/>
      <c r="AE212" s="783"/>
      <c r="AF212" s="784"/>
      <c r="AG212" s="783"/>
      <c r="AH212" s="957"/>
      <c r="AI212" s="913" t="s">
        <v>949</v>
      </c>
    </row>
    <row r="213" spans="1:35" ht="51.75" x14ac:dyDescent="0.25">
      <c r="A213" s="18" t="s">
        <v>950</v>
      </c>
      <c r="B213" s="19" t="s">
        <v>40</v>
      </c>
      <c r="C213" s="19" t="s">
        <v>41</v>
      </c>
      <c r="D213" s="19" t="s">
        <v>924</v>
      </c>
      <c r="E213" s="19" t="s">
        <v>220</v>
      </c>
      <c r="F213" s="20"/>
      <c r="G213" s="21" t="s">
        <v>951</v>
      </c>
      <c r="H213" s="22" t="s">
        <v>952</v>
      </c>
      <c r="I213" s="19" t="s">
        <v>73</v>
      </c>
      <c r="J213" s="210"/>
      <c r="K213" s="250"/>
      <c r="L213" s="251"/>
      <c r="M213" s="252"/>
      <c r="N213" s="253"/>
      <c r="O213" s="252"/>
      <c r="P213" s="254"/>
      <c r="Q213" s="418"/>
      <c r="R213" s="419"/>
      <c r="S213" s="420"/>
      <c r="T213" s="421"/>
      <c r="U213" s="420"/>
      <c r="V213" s="422"/>
      <c r="W213" s="597"/>
      <c r="X213" s="598"/>
      <c r="Y213" s="599"/>
      <c r="Z213" s="600"/>
      <c r="AA213" s="599"/>
      <c r="AB213" s="601"/>
      <c r="AC213" s="781"/>
      <c r="AD213" s="782"/>
      <c r="AE213" s="783"/>
      <c r="AF213" s="784"/>
      <c r="AG213" s="783"/>
      <c r="AH213" s="957"/>
      <c r="AI213" s="913" t="s">
        <v>953</v>
      </c>
    </row>
    <row r="214" spans="1:35" ht="26.25" x14ac:dyDescent="0.25">
      <c r="A214" s="23" t="s">
        <v>954</v>
      </c>
      <c r="B214" s="24" t="s">
        <v>40</v>
      </c>
      <c r="C214" s="24" t="s">
        <v>41</v>
      </c>
      <c r="D214" s="24" t="s">
        <v>924</v>
      </c>
      <c r="E214" s="24"/>
      <c r="F214" s="25" t="s">
        <v>55</v>
      </c>
      <c r="G214" s="26" t="s">
        <v>955</v>
      </c>
      <c r="H214" s="72"/>
      <c r="I214" s="24"/>
      <c r="J214" s="210"/>
      <c r="K214" s="250" t="s">
        <v>241</v>
      </c>
      <c r="L214" s="251" t="s">
        <v>956</v>
      </c>
      <c r="M214" s="258">
        <f>(1015917/150000)-K214</f>
        <v>-18.227219999999999</v>
      </c>
      <c r="N214" s="259">
        <f>42076/150000</f>
        <v>0.28050666666666668</v>
      </c>
      <c r="O214" s="258">
        <f>(1051917/100000)-K214</f>
        <v>-14.480829999999999</v>
      </c>
      <c r="P214" s="260">
        <f>42076/100000</f>
        <v>0.42076000000000002</v>
      </c>
      <c r="Q214" s="418" t="s">
        <v>114</v>
      </c>
      <c r="R214" s="419" t="s">
        <v>115</v>
      </c>
      <c r="S214" s="428">
        <f>(578592/150000)-Q214</f>
        <v>-19.142720000000001</v>
      </c>
      <c r="T214" s="429">
        <f>25156/150000</f>
        <v>0.16770666666666667</v>
      </c>
      <c r="U214" s="428">
        <f>(578592/100000)-Q214</f>
        <v>-17.214079999999999</v>
      </c>
      <c r="V214" s="430">
        <f>25156/100000</f>
        <v>0.25156000000000001</v>
      </c>
      <c r="W214" s="597" t="s">
        <v>149</v>
      </c>
      <c r="X214" s="598" t="s">
        <v>739</v>
      </c>
      <c r="Y214" s="654">
        <f>(189789/150000)-W214</f>
        <v>0.26526000000000005</v>
      </c>
      <c r="Z214" s="655">
        <f>189789/150000</f>
        <v>1.2652600000000001</v>
      </c>
      <c r="AA214" s="654">
        <f>(189789/100000)-W214</f>
        <v>0.89789000000000008</v>
      </c>
      <c r="AB214" s="656">
        <f>189789/100000</f>
        <v>1.8978900000000001</v>
      </c>
      <c r="AC214" s="781" t="s">
        <v>149</v>
      </c>
      <c r="AD214" s="782" t="s">
        <v>150</v>
      </c>
      <c r="AE214" s="804">
        <f>(263509/150000)-AC214</f>
        <v>0.75672666666666677</v>
      </c>
      <c r="AF214" s="805">
        <f>263509/150000</f>
        <v>1.7567266666666668</v>
      </c>
      <c r="AG214" s="804">
        <f>(263509/100000)-AC214</f>
        <v>1.6350899999999999</v>
      </c>
      <c r="AH214" s="964">
        <f>263509/100000</f>
        <v>2.6350899999999999</v>
      </c>
      <c r="AI214" s="914" t="s">
        <v>957</v>
      </c>
    </row>
    <row r="215" spans="1:35" ht="26.25" x14ac:dyDescent="0.25">
      <c r="A215" s="23" t="s">
        <v>954</v>
      </c>
      <c r="B215" s="24" t="s">
        <v>40</v>
      </c>
      <c r="C215" s="24" t="s">
        <v>41</v>
      </c>
      <c r="D215" s="24" t="s">
        <v>924</v>
      </c>
      <c r="E215" s="24"/>
      <c r="F215" s="25" t="s">
        <v>63</v>
      </c>
      <c r="G215" s="26" t="s">
        <v>955</v>
      </c>
      <c r="H215" s="72"/>
      <c r="I215" s="24"/>
      <c r="J215" s="210"/>
      <c r="K215" s="250" t="s">
        <v>958</v>
      </c>
      <c r="L215" s="251" t="s">
        <v>959</v>
      </c>
      <c r="M215" s="258">
        <f>(1015917/150000)-K215</f>
        <v>-42.227220000000003</v>
      </c>
      <c r="N215" s="259">
        <f>21467/150000</f>
        <v>0.14311333333333334</v>
      </c>
      <c r="O215" s="258">
        <f>(1051917/100000)-K215</f>
        <v>-38.480829999999997</v>
      </c>
      <c r="P215" s="260">
        <f>21467/100000</f>
        <v>0.21467</v>
      </c>
      <c r="Q215" s="418" t="s">
        <v>723</v>
      </c>
      <c r="R215" s="419" t="s">
        <v>960</v>
      </c>
      <c r="S215" s="428">
        <f>(578592/150000)-Q215</f>
        <v>-29.142720000000001</v>
      </c>
      <c r="T215" s="429">
        <f>17533/150000</f>
        <v>0.11688666666666667</v>
      </c>
      <c r="U215" s="428">
        <f>(578592/100000)-Q215</f>
        <v>-27.214079999999999</v>
      </c>
      <c r="V215" s="430">
        <f>17533/100000</f>
        <v>0.17533000000000001</v>
      </c>
      <c r="W215" s="597" t="s">
        <v>152</v>
      </c>
      <c r="X215" s="598" t="s">
        <v>961</v>
      </c>
      <c r="Y215" s="608">
        <f>(189789/150000)-W215</f>
        <v>-6.7347400000000004</v>
      </c>
      <c r="Z215" s="609">
        <f>23723/150000</f>
        <v>0.15815333333333334</v>
      </c>
      <c r="AA215" s="608">
        <f>(189789/100000)-W215</f>
        <v>-6.1021099999999997</v>
      </c>
      <c r="AB215" s="610">
        <f>23723/100000</f>
        <v>0.23723</v>
      </c>
      <c r="AC215" s="781" t="s">
        <v>152</v>
      </c>
      <c r="AD215" s="782" t="s">
        <v>190</v>
      </c>
      <c r="AE215" s="790">
        <f>(263509/150000)-AC215</f>
        <v>-6.2432733333333328</v>
      </c>
      <c r="AF215" s="791">
        <f>32938/150000</f>
        <v>0.21958666666666668</v>
      </c>
      <c r="AG215" s="790">
        <f>(263509/100000)-AC215</f>
        <v>-5.3649100000000001</v>
      </c>
      <c r="AH215" s="958">
        <f>32928/100000</f>
        <v>0.32928000000000002</v>
      </c>
      <c r="AI215" s="914"/>
    </row>
    <row r="216" spans="1:35" ht="45" x14ac:dyDescent="0.25">
      <c r="A216" s="27" t="s">
        <v>954</v>
      </c>
      <c r="B216" s="28" t="s">
        <v>40</v>
      </c>
      <c r="C216" s="28" t="s">
        <v>41</v>
      </c>
      <c r="D216" s="28" t="s">
        <v>924</v>
      </c>
      <c r="E216" s="28"/>
      <c r="F216" s="29" t="s">
        <v>72</v>
      </c>
      <c r="G216" s="30" t="s">
        <v>955</v>
      </c>
      <c r="H216" s="74" t="s">
        <v>962</v>
      </c>
      <c r="I216" s="28" t="s">
        <v>73</v>
      </c>
      <c r="J216" s="211"/>
      <c r="K216" s="261" t="s">
        <v>631</v>
      </c>
      <c r="L216" s="262" t="s">
        <v>902</v>
      </c>
      <c r="M216" s="263">
        <f>(1015917/150000)-K216</f>
        <v>-67.227220000000003</v>
      </c>
      <c r="N216" s="264">
        <f>14215/150000</f>
        <v>9.4766666666666666E-2</v>
      </c>
      <c r="O216" s="263">
        <f>(1051917/100000)-K216</f>
        <v>-63.480829999999997</v>
      </c>
      <c r="P216" s="265">
        <f>14215/100000</f>
        <v>0.14215</v>
      </c>
      <c r="Q216" s="431" t="s">
        <v>963</v>
      </c>
      <c r="R216" s="432" t="s">
        <v>964</v>
      </c>
      <c r="S216" s="433">
        <f>(578592/150000)-Q216</f>
        <v>-52.142719999999997</v>
      </c>
      <c r="T216" s="434">
        <f>10332/150000</f>
        <v>6.8879999999999997E-2</v>
      </c>
      <c r="U216" s="433">
        <f>(578592/100000)-Q216</f>
        <v>-50.214080000000003</v>
      </c>
      <c r="V216" s="435">
        <f>10332/100000</f>
        <v>0.10332</v>
      </c>
      <c r="W216" s="611" t="s">
        <v>324</v>
      </c>
      <c r="X216" s="612" t="s">
        <v>516</v>
      </c>
      <c r="Y216" s="613">
        <f>(189789/150000)-W216</f>
        <v>-7.7347400000000004</v>
      </c>
      <c r="Z216" s="614">
        <f>21087/150000</f>
        <v>0.14058000000000001</v>
      </c>
      <c r="AA216" s="613">
        <f>(189789/100000)-W216</f>
        <v>-7.1021099999999997</v>
      </c>
      <c r="AB216" s="615">
        <f>21087/100000</f>
        <v>0.21087</v>
      </c>
      <c r="AC216" s="792" t="s">
        <v>324</v>
      </c>
      <c r="AD216" s="793" t="s">
        <v>965</v>
      </c>
      <c r="AE216" s="794">
        <f>(263509/150000)-AC216</f>
        <v>-7.2432733333333328</v>
      </c>
      <c r="AF216" s="795">
        <f>29278/150000</f>
        <v>0.19518666666666667</v>
      </c>
      <c r="AG216" s="794">
        <f>(263509/100000)-AC216</f>
        <v>-6.3649100000000001</v>
      </c>
      <c r="AH216" s="959">
        <f>29278/100000</f>
        <v>0.29277999999999998</v>
      </c>
      <c r="AI216" s="915"/>
    </row>
    <row r="217" spans="1:35" ht="51.75" x14ac:dyDescent="0.25">
      <c r="A217" s="18" t="s">
        <v>966</v>
      </c>
      <c r="B217" s="19" t="s">
        <v>40</v>
      </c>
      <c r="C217" s="19" t="s">
        <v>41</v>
      </c>
      <c r="D217" s="19" t="s">
        <v>967</v>
      </c>
      <c r="E217" s="19" t="s">
        <v>968</v>
      </c>
      <c r="F217" s="20"/>
      <c r="G217" s="21" t="s">
        <v>969</v>
      </c>
      <c r="H217" s="22" t="s">
        <v>970</v>
      </c>
      <c r="I217" s="19" t="s">
        <v>138</v>
      </c>
      <c r="J217" s="210"/>
      <c r="K217" s="250"/>
      <c r="L217" s="251"/>
      <c r="M217" s="252"/>
      <c r="N217" s="253"/>
      <c r="O217" s="252"/>
      <c r="P217" s="254"/>
      <c r="Q217" s="418"/>
      <c r="R217" s="419"/>
      <c r="S217" s="420"/>
      <c r="T217" s="421"/>
      <c r="U217" s="420"/>
      <c r="V217" s="422"/>
      <c r="W217" s="597"/>
      <c r="X217" s="598"/>
      <c r="Y217" s="599"/>
      <c r="Z217" s="600"/>
      <c r="AA217" s="599"/>
      <c r="AB217" s="601"/>
      <c r="AC217" s="781"/>
      <c r="AD217" s="782"/>
      <c r="AE217" s="783"/>
      <c r="AF217" s="784"/>
      <c r="AG217" s="783"/>
      <c r="AH217" s="957"/>
      <c r="AI217" s="913" t="s">
        <v>971</v>
      </c>
    </row>
    <row r="218" spans="1:35" ht="39" x14ac:dyDescent="0.25">
      <c r="A218" s="18" t="s">
        <v>972</v>
      </c>
      <c r="B218" s="19" t="s">
        <v>40</v>
      </c>
      <c r="C218" s="19" t="s">
        <v>41</v>
      </c>
      <c r="D218" s="19" t="s">
        <v>967</v>
      </c>
      <c r="E218" s="19" t="s">
        <v>973</v>
      </c>
      <c r="F218" s="20"/>
      <c r="G218" s="21" t="s">
        <v>974</v>
      </c>
      <c r="H218" s="22" t="s">
        <v>975</v>
      </c>
      <c r="I218" s="19" t="s">
        <v>608</v>
      </c>
      <c r="J218" s="210"/>
      <c r="K218" s="250"/>
      <c r="L218" s="251"/>
      <c r="M218" s="252"/>
      <c r="N218" s="253"/>
      <c r="O218" s="252"/>
      <c r="P218" s="254"/>
      <c r="Q218" s="418"/>
      <c r="R218" s="419"/>
      <c r="S218" s="420"/>
      <c r="T218" s="421"/>
      <c r="U218" s="420"/>
      <c r="V218" s="422"/>
      <c r="W218" s="597"/>
      <c r="X218" s="598"/>
      <c r="Y218" s="599"/>
      <c r="Z218" s="600"/>
      <c r="AA218" s="599"/>
      <c r="AB218" s="601"/>
      <c r="AC218" s="781"/>
      <c r="AD218" s="782"/>
      <c r="AE218" s="783"/>
      <c r="AF218" s="784"/>
      <c r="AG218" s="783"/>
      <c r="AH218" s="957"/>
      <c r="AI218" s="913" t="s">
        <v>976</v>
      </c>
    </row>
    <row r="219" spans="1:35" ht="30" x14ac:dyDescent="0.25">
      <c r="A219" s="62" t="s">
        <v>977</v>
      </c>
      <c r="B219" s="63" t="s">
        <v>40</v>
      </c>
      <c r="C219" s="63" t="s">
        <v>41</v>
      </c>
      <c r="D219" s="63" t="s">
        <v>967</v>
      </c>
      <c r="E219" s="63"/>
      <c r="F219" s="64" t="s">
        <v>63</v>
      </c>
      <c r="G219" s="65" t="s">
        <v>978</v>
      </c>
      <c r="H219" s="84" t="s">
        <v>979</v>
      </c>
      <c r="I219" s="63" t="s">
        <v>608</v>
      </c>
      <c r="J219" s="211"/>
      <c r="K219" s="261" t="s">
        <v>980</v>
      </c>
      <c r="L219" s="262" t="s">
        <v>981</v>
      </c>
      <c r="M219" s="283">
        <f>(1051917/200000)-K219</f>
        <v>-21.740414999999999</v>
      </c>
      <c r="N219" s="284">
        <f>38959/200000</f>
        <v>0.194795</v>
      </c>
      <c r="O219" s="283">
        <f>(10151917/150000)-K219</f>
        <v>40.679446666666664</v>
      </c>
      <c r="P219" s="285">
        <f>38959/150000</f>
        <v>0.25972666666666666</v>
      </c>
      <c r="Q219" s="431" t="s">
        <v>982</v>
      </c>
      <c r="R219" s="432" t="s">
        <v>983</v>
      </c>
      <c r="S219" s="433">
        <f>(578592/200000)-Q219</f>
        <v>-19.107040000000001</v>
      </c>
      <c r="T219" s="434">
        <f>26299/200000</f>
        <v>0.131495</v>
      </c>
      <c r="U219" s="433">
        <f>(578592/150000)-Q219</f>
        <v>-18.142720000000001</v>
      </c>
      <c r="V219" s="435">
        <f>26299/150000</f>
        <v>0.17532666666666666</v>
      </c>
      <c r="W219" s="641" t="s">
        <v>60</v>
      </c>
      <c r="X219" s="612" t="s">
        <v>61</v>
      </c>
      <c r="Y219" s="627">
        <f>(189789/200000)</f>
        <v>0.94894500000000004</v>
      </c>
      <c r="Z219" s="642" t="s">
        <v>61</v>
      </c>
      <c r="AA219" s="627">
        <f>(189789/150000)</f>
        <v>1.2652600000000001</v>
      </c>
      <c r="AB219" s="643" t="s">
        <v>61</v>
      </c>
      <c r="AC219" s="792" t="s">
        <v>116</v>
      </c>
      <c r="AD219" s="793" t="s">
        <v>117</v>
      </c>
      <c r="AE219" s="794">
        <f>(263509/200000)-AC219</f>
        <v>-3.682455</v>
      </c>
      <c r="AF219" s="795">
        <f>52701/200000</f>
        <v>0.26350499999999999</v>
      </c>
      <c r="AG219" s="794">
        <f>(263509/150000)-AC219</f>
        <v>-3.2432733333333332</v>
      </c>
      <c r="AH219" s="959">
        <f>52701/150000</f>
        <v>0.35133999999999999</v>
      </c>
      <c r="AI219" s="923"/>
    </row>
    <row r="220" spans="1:35" ht="39" x14ac:dyDescent="0.25">
      <c r="A220" s="49" t="s">
        <v>984</v>
      </c>
      <c r="B220" s="50" t="s">
        <v>40</v>
      </c>
      <c r="C220" s="50" t="s">
        <v>41</v>
      </c>
      <c r="D220" s="50" t="s">
        <v>985</v>
      </c>
      <c r="E220" s="50" t="s">
        <v>80</v>
      </c>
      <c r="F220" s="51"/>
      <c r="G220" s="52" t="s">
        <v>986</v>
      </c>
      <c r="H220" s="53" t="s">
        <v>987</v>
      </c>
      <c r="I220" s="50" t="s">
        <v>73</v>
      </c>
      <c r="J220" s="210"/>
      <c r="K220" s="250"/>
      <c r="L220" s="251"/>
      <c r="M220" s="252"/>
      <c r="N220" s="253"/>
      <c r="O220" s="252"/>
      <c r="P220" s="254"/>
      <c r="Q220" s="418"/>
      <c r="R220" s="419"/>
      <c r="S220" s="420"/>
      <c r="T220" s="421"/>
      <c r="U220" s="420"/>
      <c r="V220" s="422"/>
      <c r="W220" s="597"/>
      <c r="X220" s="598"/>
      <c r="Y220" s="599"/>
      <c r="Z220" s="600"/>
      <c r="AA220" s="599"/>
      <c r="AB220" s="601"/>
      <c r="AC220" s="781"/>
      <c r="AD220" s="782"/>
      <c r="AE220" s="783"/>
      <c r="AF220" s="784"/>
      <c r="AG220" s="783"/>
      <c r="AH220" s="957"/>
      <c r="AI220" s="920" t="s">
        <v>988</v>
      </c>
    </row>
    <row r="221" spans="1:35" ht="26.25" x14ac:dyDescent="0.25">
      <c r="A221" s="49" t="s">
        <v>989</v>
      </c>
      <c r="B221" s="50" t="s">
        <v>40</v>
      </c>
      <c r="C221" s="50" t="s">
        <v>41</v>
      </c>
      <c r="D221" s="50" t="s">
        <v>985</v>
      </c>
      <c r="E221" s="50" t="s">
        <v>990</v>
      </c>
      <c r="F221" s="51"/>
      <c r="G221" s="52" t="s">
        <v>991</v>
      </c>
      <c r="H221" s="53" t="s">
        <v>992</v>
      </c>
      <c r="I221" s="50" t="s">
        <v>213</v>
      </c>
      <c r="J221" s="210"/>
      <c r="K221" s="250"/>
      <c r="L221" s="251"/>
      <c r="M221" s="252"/>
      <c r="N221" s="253"/>
      <c r="O221" s="252"/>
      <c r="P221" s="254"/>
      <c r="Q221" s="418"/>
      <c r="R221" s="419"/>
      <c r="S221" s="420"/>
      <c r="T221" s="421"/>
      <c r="U221" s="420"/>
      <c r="V221" s="422"/>
      <c r="W221" s="597"/>
      <c r="X221" s="598"/>
      <c r="Y221" s="599"/>
      <c r="Z221" s="600"/>
      <c r="AA221" s="599"/>
      <c r="AB221" s="601"/>
      <c r="AC221" s="781"/>
      <c r="AD221" s="782"/>
      <c r="AE221" s="783"/>
      <c r="AF221" s="784"/>
      <c r="AG221" s="783"/>
      <c r="AH221" s="957"/>
      <c r="AI221" s="920" t="s">
        <v>993</v>
      </c>
    </row>
    <row r="222" spans="1:35" ht="26.25" x14ac:dyDescent="0.25">
      <c r="A222" s="49" t="s">
        <v>994</v>
      </c>
      <c r="B222" s="50" t="s">
        <v>40</v>
      </c>
      <c r="C222" s="50" t="s">
        <v>41</v>
      </c>
      <c r="D222" s="50" t="s">
        <v>985</v>
      </c>
      <c r="E222" s="50" t="s">
        <v>763</v>
      </c>
      <c r="F222" s="51"/>
      <c r="G222" s="52" t="s">
        <v>995</v>
      </c>
      <c r="H222" s="53" t="s">
        <v>996</v>
      </c>
      <c r="I222" s="50" t="s">
        <v>73</v>
      </c>
      <c r="J222" s="210"/>
      <c r="K222" s="250"/>
      <c r="L222" s="251"/>
      <c r="M222" s="252"/>
      <c r="N222" s="253"/>
      <c r="O222" s="252"/>
      <c r="P222" s="254"/>
      <c r="Q222" s="418"/>
      <c r="R222" s="419"/>
      <c r="S222" s="420"/>
      <c r="T222" s="421"/>
      <c r="U222" s="420"/>
      <c r="V222" s="422"/>
      <c r="W222" s="597"/>
      <c r="X222" s="598"/>
      <c r="Y222" s="599"/>
      <c r="Z222" s="600"/>
      <c r="AA222" s="599"/>
      <c r="AB222" s="601"/>
      <c r="AC222" s="781"/>
      <c r="AD222" s="782"/>
      <c r="AE222" s="783"/>
      <c r="AF222" s="784"/>
      <c r="AG222" s="783"/>
      <c r="AH222" s="957"/>
      <c r="AI222" s="920" t="s">
        <v>997</v>
      </c>
    </row>
    <row r="223" spans="1:35" ht="39" x14ac:dyDescent="0.25">
      <c r="A223" s="49" t="s">
        <v>998</v>
      </c>
      <c r="B223" s="50" t="s">
        <v>40</v>
      </c>
      <c r="C223" s="50" t="s">
        <v>41</v>
      </c>
      <c r="D223" s="50" t="s">
        <v>985</v>
      </c>
      <c r="E223" s="50" t="s">
        <v>211</v>
      </c>
      <c r="F223" s="51"/>
      <c r="G223" s="52" t="s">
        <v>999</v>
      </c>
      <c r="H223" s="53" t="s">
        <v>1000</v>
      </c>
      <c r="I223" s="50" t="s">
        <v>83</v>
      </c>
      <c r="J223" s="210"/>
      <c r="K223" s="250"/>
      <c r="L223" s="251"/>
      <c r="M223" s="252"/>
      <c r="N223" s="253"/>
      <c r="O223" s="252"/>
      <c r="P223" s="254"/>
      <c r="Q223" s="418"/>
      <c r="R223" s="419"/>
      <c r="S223" s="420"/>
      <c r="T223" s="421"/>
      <c r="U223" s="420"/>
      <c r="V223" s="422"/>
      <c r="W223" s="597"/>
      <c r="X223" s="598"/>
      <c r="Y223" s="599"/>
      <c r="Z223" s="600"/>
      <c r="AA223" s="599"/>
      <c r="AB223" s="601"/>
      <c r="AC223" s="781"/>
      <c r="AD223" s="782"/>
      <c r="AE223" s="783"/>
      <c r="AF223" s="784"/>
      <c r="AG223" s="783"/>
      <c r="AH223" s="957"/>
      <c r="AI223" s="920" t="s">
        <v>1001</v>
      </c>
    </row>
    <row r="224" spans="1:35" ht="39" x14ac:dyDescent="0.25">
      <c r="A224" s="49" t="s">
        <v>1002</v>
      </c>
      <c r="B224" s="50" t="s">
        <v>40</v>
      </c>
      <c r="C224" s="50" t="s">
        <v>41</v>
      </c>
      <c r="D224" s="50" t="s">
        <v>985</v>
      </c>
      <c r="E224" s="50" t="s">
        <v>274</v>
      </c>
      <c r="F224" s="51"/>
      <c r="G224" s="52" t="s">
        <v>1003</v>
      </c>
      <c r="H224" s="53" t="s">
        <v>1004</v>
      </c>
      <c r="I224" s="50" t="s">
        <v>73</v>
      </c>
      <c r="J224" s="210"/>
      <c r="K224" s="250"/>
      <c r="L224" s="251"/>
      <c r="M224" s="252"/>
      <c r="N224" s="253"/>
      <c r="O224" s="252"/>
      <c r="P224" s="254"/>
      <c r="Q224" s="418"/>
      <c r="R224" s="419"/>
      <c r="S224" s="420"/>
      <c r="T224" s="421"/>
      <c r="U224" s="420"/>
      <c r="V224" s="422"/>
      <c r="W224" s="597"/>
      <c r="X224" s="598"/>
      <c r="Y224" s="599"/>
      <c r="Z224" s="600"/>
      <c r="AA224" s="599"/>
      <c r="AB224" s="601"/>
      <c r="AC224" s="781"/>
      <c r="AD224" s="782"/>
      <c r="AE224" s="783"/>
      <c r="AF224" s="784"/>
      <c r="AG224" s="783"/>
      <c r="AH224" s="957"/>
      <c r="AI224" s="920" t="s">
        <v>846</v>
      </c>
    </row>
    <row r="225" spans="1:35" ht="26.25" x14ac:dyDescent="0.25">
      <c r="A225" s="49" t="s">
        <v>1005</v>
      </c>
      <c r="B225" s="50" t="s">
        <v>40</v>
      </c>
      <c r="C225" s="50" t="s">
        <v>41</v>
      </c>
      <c r="D225" s="50" t="s">
        <v>985</v>
      </c>
      <c r="E225" s="50" t="s">
        <v>1006</v>
      </c>
      <c r="F225" s="51"/>
      <c r="G225" s="52" t="s">
        <v>1007</v>
      </c>
      <c r="H225" s="53" t="s">
        <v>1000</v>
      </c>
      <c r="I225" s="50" t="s">
        <v>73</v>
      </c>
      <c r="J225" s="210"/>
      <c r="K225" s="250"/>
      <c r="L225" s="251"/>
      <c r="M225" s="252"/>
      <c r="N225" s="253"/>
      <c r="O225" s="252"/>
      <c r="P225" s="254"/>
      <c r="Q225" s="418"/>
      <c r="R225" s="419"/>
      <c r="S225" s="420"/>
      <c r="T225" s="421"/>
      <c r="U225" s="420"/>
      <c r="V225" s="422"/>
      <c r="W225" s="597"/>
      <c r="X225" s="598"/>
      <c r="Y225" s="599"/>
      <c r="Z225" s="600"/>
      <c r="AA225" s="599"/>
      <c r="AB225" s="601"/>
      <c r="AC225" s="781"/>
      <c r="AD225" s="782"/>
      <c r="AE225" s="783"/>
      <c r="AF225" s="784"/>
      <c r="AG225" s="783"/>
      <c r="AH225" s="957"/>
      <c r="AI225" s="920" t="s">
        <v>1001</v>
      </c>
    </row>
    <row r="226" spans="1:35" ht="64.5" x14ac:dyDescent="0.25">
      <c r="A226" s="49" t="s">
        <v>1008</v>
      </c>
      <c r="B226" s="50" t="s">
        <v>40</v>
      </c>
      <c r="C226" s="50" t="s">
        <v>41</v>
      </c>
      <c r="D226" s="50" t="s">
        <v>985</v>
      </c>
      <c r="E226" s="50" t="s">
        <v>1009</v>
      </c>
      <c r="F226" s="51"/>
      <c r="G226" s="52" t="s">
        <v>1010</v>
      </c>
      <c r="H226" s="53" t="s">
        <v>1000</v>
      </c>
      <c r="I226" s="50" t="s">
        <v>73</v>
      </c>
      <c r="J226" s="210"/>
      <c r="K226" s="250"/>
      <c r="L226" s="251"/>
      <c r="M226" s="252"/>
      <c r="N226" s="253"/>
      <c r="O226" s="252"/>
      <c r="P226" s="254"/>
      <c r="Q226" s="418"/>
      <c r="R226" s="419"/>
      <c r="S226" s="420"/>
      <c r="T226" s="421"/>
      <c r="U226" s="420"/>
      <c r="V226" s="422"/>
      <c r="W226" s="597"/>
      <c r="X226" s="598"/>
      <c r="Y226" s="599"/>
      <c r="Z226" s="600"/>
      <c r="AA226" s="599"/>
      <c r="AB226" s="601"/>
      <c r="AC226" s="781"/>
      <c r="AD226" s="782"/>
      <c r="AE226" s="783"/>
      <c r="AF226" s="784"/>
      <c r="AG226" s="783"/>
      <c r="AH226" s="957"/>
      <c r="AI226" s="920" t="s">
        <v>1011</v>
      </c>
    </row>
    <row r="227" spans="1:35" ht="39" x14ac:dyDescent="0.25">
      <c r="A227" s="49" t="s">
        <v>1012</v>
      </c>
      <c r="B227" s="50" t="s">
        <v>40</v>
      </c>
      <c r="C227" s="50" t="s">
        <v>41</v>
      </c>
      <c r="D227" s="50" t="s">
        <v>985</v>
      </c>
      <c r="E227" s="50" t="s">
        <v>1013</v>
      </c>
      <c r="F227" s="51"/>
      <c r="G227" s="52" t="s">
        <v>1014</v>
      </c>
      <c r="H227" s="53" t="s">
        <v>568</v>
      </c>
      <c r="I227" s="50" t="s">
        <v>648</v>
      </c>
      <c r="J227" s="210"/>
      <c r="K227" s="250"/>
      <c r="L227" s="251"/>
      <c r="M227" s="252"/>
      <c r="N227" s="253"/>
      <c r="O227" s="252"/>
      <c r="P227" s="254"/>
      <c r="Q227" s="418"/>
      <c r="R227" s="419"/>
      <c r="S227" s="420"/>
      <c r="T227" s="421"/>
      <c r="U227" s="420"/>
      <c r="V227" s="422"/>
      <c r="W227" s="597"/>
      <c r="X227" s="598"/>
      <c r="Y227" s="599"/>
      <c r="Z227" s="600"/>
      <c r="AA227" s="599"/>
      <c r="AB227" s="601"/>
      <c r="AC227" s="781"/>
      <c r="AD227" s="782"/>
      <c r="AE227" s="783"/>
      <c r="AF227" s="784"/>
      <c r="AG227" s="783"/>
      <c r="AH227" s="957"/>
      <c r="AI227" s="920" t="s">
        <v>993</v>
      </c>
    </row>
    <row r="228" spans="1:35" ht="39" x14ac:dyDescent="0.25">
      <c r="A228" s="49" t="s">
        <v>1015</v>
      </c>
      <c r="B228" s="50" t="s">
        <v>40</v>
      </c>
      <c r="C228" s="50" t="s">
        <v>41</v>
      </c>
      <c r="D228" s="50" t="s">
        <v>985</v>
      </c>
      <c r="E228" s="50" t="s">
        <v>220</v>
      </c>
      <c r="F228" s="51"/>
      <c r="G228" s="52" t="s">
        <v>1016</v>
      </c>
      <c r="H228" s="53" t="s">
        <v>1017</v>
      </c>
      <c r="I228" s="50" t="s">
        <v>73</v>
      </c>
      <c r="J228" s="210"/>
      <c r="K228" s="250"/>
      <c r="L228" s="251"/>
      <c r="M228" s="252"/>
      <c r="N228" s="253"/>
      <c r="O228" s="252"/>
      <c r="P228" s="254"/>
      <c r="Q228" s="418"/>
      <c r="R228" s="419"/>
      <c r="S228" s="420"/>
      <c r="T228" s="421"/>
      <c r="U228" s="420"/>
      <c r="V228" s="422"/>
      <c r="W228" s="597"/>
      <c r="X228" s="598"/>
      <c r="Y228" s="599"/>
      <c r="Z228" s="600"/>
      <c r="AA228" s="599"/>
      <c r="AB228" s="601"/>
      <c r="AC228" s="781"/>
      <c r="AD228" s="782"/>
      <c r="AE228" s="783"/>
      <c r="AF228" s="784"/>
      <c r="AG228" s="783"/>
      <c r="AH228" s="957"/>
      <c r="AI228" s="920" t="s">
        <v>1018</v>
      </c>
    </row>
    <row r="229" spans="1:35" ht="51.75" x14ac:dyDescent="0.25">
      <c r="A229" s="49" t="s">
        <v>1019</v>
      </c>
      <c r="B229" s="50" t="s">
        <v>40</v>
      </c>
      <c r="C229" s="50" t="s">
        <v>41</v>
      </c>
      <c r="D229" s="50" t="s">
        <v>985</v>
      </c>
      <c r="E229" s="50" t="s">
        <v>223</v>
      </c>
      <c r="F229" s="51"/>
      <c r="G229" s="52" t="s">
        <v>1020</v>
      </c>
      <c r="H229" s="53" t="s">
        <v>1021</v>
      </c>
      <c r="I229" s="50" t="s">
        <v>1022</v>
      </c>
      <c r="J229" s="210"/>
      <c r="K229" s="250"/>
      <c r="L229" s="251"/>
      <c r="M229" s="252"/>
      <c r="N229" s="253"/>
      <c r="O229" s="252"/>
      <c r="P229" s="254"/>
      <c r="Q229" s="418"/>
      <c r="R229" s="419"/>
      <c r="S229" s="420"/>
      <c r="T229" s="421"/>
      <c r="U229" s="420"/>
      <c r="V229" s="422"/>
      <c r="W229" s="597"/>
      <c r="X229" s="598"/>
      <c r="Y229" s="599"/>
      <c r="Z229" s="600"/>
      <c r="AA229" s="599"/>
      <c r="AB229" s="601"/>
      <c r="AC229" s="781"/>
      <c r="AD229" s="782"/>
      <c r="AE229" s="783"/>
      <c r="AF229" s="784"/>
      <c r="AG229" s="783"/>
      <c r="AH229" s="957"/>
      <c r="AI229" s="920" t="s">
        <v>1001</v>
      </c>
    </row>
    <row r="230" spans="1:35" ht="39" x14ac:dyDescent="0.25">
      <c r="A230" s="76" t="s">
        <v>1023</v>
      </c>
      <c r="B230" s="77" t="s">
        <v>61</v>
      </c>
      <c r="C230" s="77" t="s">
        <v>41</v>
      </c>
      <c r="D230" s="77" t="s">
        <v>985</v>
      </c>
      <c r="E230" s="77"/>
      <c r="F230" s="78" t="s">
        <v>55</v>
      </c>
      <c r="G230" s="79" t="s">
        <v>504</v>
      </c>
      <c r="H230" s="80"/>
      <c r="I230" s="77"/>
      <c r="J230" s="210"/>
      <c r="K230" s="250" t="s">
        <v>145</v>
      </c>
      <c r="L230" s="251" t="s">
        <v>146</v>
      </c>
      <c r="M230" s="295">
        <f>(1051917/1000000)-K230</f>
        <v>-4.9480830000000005</v>
      </c>
      <c r="N230" s="296">
        <f>175319/1000000</f>
        <v>0.175319</v>
      </c>
      <c r="O230" s="295">
        <f>(1051917/50000)-K230</f>
        <v>15.038340000000002</v>
      </c>
      <c r="P230" s="297">
        <f>175319/50000</f>
        <v>3.5063800000000001</v>
      </c>
      <c r="Q230" s="418" t="s">
        <v>68</v>
      </c>
      <c r="R230" s="419" t="s">
        <v>184</v>
      </c>
      <c r="S230" s="467">
        <f>(578592/1000000)-Q230</f>
        <v>-3.421408</v>
      </c>
      <c r="T230" s="468">
        <f>144648/1000000</f>
        <v>0.144648</v>
      </c>
      <c r="U230" s="467">
        <f>(578592/50000)-Q230</f>
        <v>7.5718399999999999</v>
      </c>
      <c r="V230" s="469">
        <f>144648/50000</f>
        <v>2.89296</v>
      </c>
      <c r="W230" s="597" t="s">
        <v>57</v>
      </c>
      <c r="X230" s="598" t="s">
        <v>148</v>
      </c>
      <c r="Y230" s="654">
        <f>(189789/1000000)-W230</f>
        <v>-1.810211</v>
      </c>
      <c r="Z230" s="655">
        <f>94894/1000000</f>
        <v>9.4894000000000006E-2</v>
      </c>
      <c r="AA230" s="654">
        <f>(189789/50000)-W230</f>
        <v>1.7957800000000002</v>
      </c>
      <c r="AB230" s="656">
        <f>94894/50000</f>
        <v>1.89788</v>
      </c>
      <c r="AC230" s="796" t="s">
        <v>60</v>
      </c>
      <c r="AD230" s="782" t="s">
        <v>61</v>
      </c>
      <c r="AE230" s="804">
        <f>(263509/1000000)-AC230</f>
        <v>0.26350899999999999</v>
      </c>
      <c r="AF230" s="805" t="s">
        <v>61</v>
      </c>
      <c r="AG230" s="804">
        <f>(263509/50000)-AC230</f>
        <v>5.2701799999999999</v>
      </c>
      <c r="AH230" s="964" t="s">
        <v>61</v>
      </c>
      <c r="AI230" s="925"/>
    </row>
    <row r="231" spans="1:35" ht="39" x14ac:dyDescent="0.25">
      <c r="A231" s="76" t="s">
        <v>1023</v>
      </c>
      <c r="B231" s="77" t="s">
        <v>61</v>
      </c>
      <c r="C231" s="77" t="s">
        <v>41</v>
      </c>
      <c r="D231" s="77" t="s">
        <v>985</v>
      </c>
      <c r="E231" s="77"/>
      <c r="F231" s="78" t="s">
        <v>63</v>
      </c>
      <c r="G231" s="79" t="s">
        <v>504</v>
      </c>
      <c r="H231" s="80"/>
      <c r="I231" s="77"/>
      <c r="J231" s="210"/>
      <c r="K231" s="250" t="s">
        <v>1024</v>
      </c>
      <c r="L231" s="251" t="s">
        <v>1025</v>
      </c>
      <c r="M231" s="295">
        <f>(1051917/1000000)-K231</f>
        <v>-12.948083</v>
      </c>
      <c r="N231" s="296">
        <f>75136/1000000</f>
        <v>7.5135999999999994E-2</v>
      </c>
      <c r="O231" s="295">
        <f>(1051917/50000)-K231</f>
        <v>7.0383400000000016</v>
      </c>
      <c r="P231" s="297">
        <f>75136/50000</f>
        <v>1.5027200000000001</v>
      </c>
      <c r="Q231" s="418" t="s">
        <v>324</v>
      </c>
      <c r="R231" s="419" t="s">
        <v>1026</v>
      </c>
      <c r="S231" s="467">
        <f>(578592/1000000)-Q231</f>
        <v>-8.4214079999999996</v>
      </c>
      <c r="T231" s="468">
        <f>64288/1000000</f>
        <v>6.4287999999999998E-2</v>
      </c>
      <c r="U231" s="467">
        <f>(578592/50000)-Q231</f>
        <v>2.5718399999999999</v>
      </c>
      <c r="V231" s="469">
        <f>64288/50000</f>
        <v>1.28576</v>
      </c>
      <c r="W231" s="597" t="s">
        <v>57</v>
      </c>
      <c r="X231" s="598" t="s">
        <v>148</v>
      </c>
      <c r="Y231" s="654">
        <f>(189789/1000000)-W231</f>
        <v>-1.810211</v>
      </c>
      <c r="Z231" s="655">
        <f>94894/1000000</f>
        <v>9.4894000000000006E-2</v>
      </c>
      <c r="AA231" s="654">
        <f>(189789/50000)-W231</f>
        <v>1.7957800000000002</v>
      </c>
      <c r="AB231" s="656">
        <f>94894/50000</f>
        <v>1.89788</v>
      </c>
      <c r="AC231" s="781" t="s">
        <v>70</v>
      </c>
      <c r="AD231" s="782" t="s">
        <v>71</v>
      </c>
      <c r="AE231" s="802">
        <f>(263509/1000000)-AC231</f>
        <v>-2.736491</v>
      </c>
      <c r="AF231" s="803">
        <f>87836/1000000</f>
        <v>8.7835999999999997E-2</v>
      </c>
      <c r="AG231" s="802">
        <f>(263509/50000)-AC231</f>
        <v>2.2701799999999999</v>
      </c>
      <c r="AH231" s="963">
        <f>87836/50000</f>
        <v>1.7567200000000001</v>
      </c>
      <c r="AI231" s="925"/>
    </row>
    <row r="232" spans="1:35" ht="60" x14ac:dyDescent="0.25">
      <c r="A232" s="54" t="s">
        <v>1023</v>
      </c>
      <c r="B232" s="55" t="s">
        <v>61</v>
      </c>
      <c r="C232" s="55" t="s">
        <v>41</v>
      </c>
      <c r="D232" s="55" t="s">
        <v>985</v>
      </c>
      <c r="E232" s="55"/>
      <c r="F232" s="56" t="s">
        <v>72</v>
      </c>
      <c r="G232" s="57" t="s">
        <v>504</v>
      </c>
      <c r="H232" s="81"/>
      <c r="I232" s="55"/>
      <c r="J232" s="211"/>
      <c r="K232" s="261" t="s">
        <v>74</v>
      </c>
      <c r="L232" s="262" t="s">
        <v>75</v>
      </c>
      <c r="M232" s="283">
        <f>(1051917/1000000)-K232</f>
        <v>-18.948083</v>
      </c>
      <c r="N232" s="284">
        <f>52595/1000000</f>
        <v>5.2595000000000003E-2</v>
      </c>
      <c r="O232" s="283">
        <f>(1051917/50000)-K232</f>
        <v>1.0383400000000016</v>
      </c>
      <c r="P232" s="285">
        <f>52595/50000</f>
        <v>1.0519000000000001</v>
      </c>
      <c r="Q232" s="431" t="s">
        <v>76</v>
      </c>
      <c r="R232" s="432" t="s">
        <v>77</v>
      </c>
      <c r="S232" s="433">
        <f>(578592/1000000)-Q232</f>
        <v>-12.421408</v>
      </c>
      <c r="T232" s="434">
        <f>44507/1000000</f>
        <v>4.4506999999999998E-2</v>
      </c>
      <c r="U232" s="433">
        <f>(578592/50000)-Q232</f>
        <v>-1.4281600000000001</v>
      </c>
      <c r="V232" s="435">
        <f>44507/50000</f>
        <v>0.89014000000000004</v>
      </c>
      <c r="W232" s="611" t="s">
        <v>68</v>
      </c>
      <c r="X232" s="612" t="s">
        <v>69</v>
      </c>
      <c r="Y232" s="613">
        <f>(189789/1000000)-W232</f>
        <v>-3.8102109999999998</v>
      </c>
      <c r="Z232" s="614">
        <f>47447/1000000</f>
        <v>4.7447000000000003E-2</v>
      </c>
      <c r="AA232" s="613">
        <f>(189789/50000)-W232</f>
        <v>-0.20421999999999985</v>
      </c>
      <c r="AB232" s="615">
        <f>47447/50000</f>
        <v>0.94894000000000001</v>
      </c>
      <c r="AC232" s="792" t="s">
        <v>70</v>
      </c>
      <c r="AD232" s="793" t="s">
        <v>71</v>
      </c>
      <c r="AE232" s="806">
        <f>(263509/1000000)-AC232</f>
        <v>-2.736491</v>
      </c>
      <c r="AF232" s="807">
        <f>87836/1000000</f>
        <v>8.7835999999999997E-2</v>
      </c>
      <c r="AG232" s="806">
        <f>(263509/50000)-AC232</f>
        <v>2.2701799999999999</v>
      </c>
      <c r="AH232" s="965">
        <f>87836/50000</f>
        <v>1.7567200000000001</v>
      </c>
      <c r="AI232" s="921"/>
    </row>
    <row r="233" spans="1:35" ht="39" x14ac:dyDescent="0.25">
      <c r="A233" s="49" t="s">
        <v>1027</v>
      </c>
      <c r="B233" s="50" t="s">
        <v>40</v>
      </c>
      <c r="C233" s="50" t="s">
        <v>41</v>
      </c>
      <c r="D233" s="50" t="s">
        <v>1028</v>
      </c>
      <c r="E233" s="50" t="s">
        <v>80</v>
      </c>
      <c r="F233" s="51"/>
      <c r="G233" s="52" t="s">
        <v>1029</v>
      </c>
      <c r="H233" s="53" t="s">
        <v>1030</v>
      </c>
      <c r="I233" s="50" t="s">
        <v>648</v>
      </c>
      <c r="J233" s="210"/>
      <c r="K233" s="250"/>
      <c r="L233" s="251"/>
      <c r="M233" s="252"/>
      <c r="N233" s="253"/>
      <c r="O233" s="252"/>
      <c r="P233" s="254"/>
      <c r="Q233" s="418"/>
      <c r="R233" s="419"/>
      <c r="S233" s="420"/>
      <c r="T233" s="421"/>
      <c r="U233" s="420"/>
      <c r="V233" s="422"/>
      <c r="W233" s="597"/>
      <c r="X233" s="598"/>
      <c r="Y233" s="599"/>
      <c r="Z233" s="600"/>
      <c r="AA233" s="599"/>
      <c r="AB233" s="601"/>
      <c r="AC233" s="781"/>
      <c r="AD233" s="782"/>
      <c r="AE233" s="783"/>
      <c r="AF233" s="784"/>
      <c r="AG233" s="783"/>
      <c r="AH233" s="957"/>
      <c r="AI233" s="920" t="s">
        <v>1031</v>
      </c>
    </row>
    <row r="234" spans="1:35" ht="26.25" x14ac:dyDescent="0.25">
      <c r="A234" s="49" t="s">
        <v>1032</v>
      </c>
      <c r="B234" s="50" t="s">
        <v>40</v>
      </c>
      <c r="C234" s="50" t="s">
        <v>41</v>
      </c>
      <c r="D234" s="50" t="s">
        <v>1028</v>
      </c>
      <c r="E234" s="50" t="s">
        <v>1033</v>
      </c>
      <c r="F234" s="51"/>
      <c r="G234" s="52" t="s">
        <v>1034</v>
      </c>
      <c r="H234" s="53" t="s">
        <v>1030</v>
      </c>
      <c r="I234" s="50" t="s">
        <v>648</v>
      </c>
      <c r="J234" s="210"/>
      <c r="K234" s="250"/>
      <c r="L234" s="251"/>
      <c r="M234" s="252"/>
      <c r="N234" s="253"/>
      <c r="O234" s="252"/>
      <c r="P234" s="254"/>
      <c r="Q234" s="418"/>
      <c r="R234" s="419"/>
      <c r="S234" s="420"/>
      <c r="T234" s="421"/>
      <c r="U234" s="420"/>
      <c r="V234" s="422"/>
      <c r="W234" s="597"/>
      <c r="X234" s="598"/>
      <c r="Y234" s="599"/>
      <c r="Z234" s="600"/>
      <c r="AA234" s="599"/>
      <c r="AB234" s="601"/>
      <c r="AC234" s="781"/>
      <c r="AD234" s="782"/>
      <c r="AE234" s="783"/>
      <c r="AF234" s="784"/>
      <c r="AG234" s="783"/>
      <c r="AH234" s="957"/>
      <c r="AI234" s="920" t="s">
        <v>1035</v>
      </c>
    </row>
    <row r="235" spans="1:35" ht="39" x14ac:dyDescent="0.25">
      <c r="A235" s="49" t="s">
        <v>1036</v>
      </c>
      <c r="B235" s="50" t="s">
        <v>40</v>
      </c>
      <c r="C235" s="50" t="s">
        <v>41</v>
      </c>
      <c r="D235" s="50" t="s">
        <v>1028</v>
      </c>
      <c r="E235" s="50" t="s">
        <v>1037</v>
      </c>
      <c r="F235" s="51"/>
      <c r="G235" s="52" t="s">
        <v>1038</v>
      </c>
      <c r="H235" s="53" t="s">
        <v>992</v>
      </c>
      <c r="I235" s="50" t="s">
        <v>160</v>
      </c>
      <c r="J235" s="210"/>
      <c r="K235" s="250"/>
      <c r="L235" s="251"/>
      <c r="M235" s="252"/>
      <c r="N235" s="253"/>
      <c r="O235" s="252"/>
      <c r="P235" s="254"/>
      <c r="Q235" s="418"/>
      <c r="R235" s="419"/>
      <c r="S235" s="420"/>
      <c r="T235" s="421"/>
      <c r="U235" s="420"/>
      <c r="V235" s="422"/>
      <c r="W235" s="597"/>
      <c r="X235" s="598"/>
      <c r="Y235" s="599"/>
      <c r="Z235" s="600"/>
      <c r="AA235" s="599"/>
      <c r="AB235" s="601"/>
      <c r="AC235" s="781"/>
      <c r="AD235" s="782"/>
      <c r="AE235" s="783"/>
      <c r="AF235" s="784"/>
      <c r="AG235" s="783"/>
      <c r="AH235" s="957"/>
      <c r="AI235" s="920" t="s">
        <v>1039</v>
      </c>
    </row>
    <row r="236" spans="1:35" ht="39" x14ac:dyDescent="0.25">
      <c r="A236" s="49" t="s">
        <v>1040</v>
      </c>
      <c r="B236" s="50" t="s">
        <v>40</v>
      </c>
      <c r="C236" s="50" t="s">
        <v>41</v>
      </c>
      <c r="D236" s="50" t="s">
        <v>1028</v>
      </c>
      <c r="E236" s="50" t="s">
        <v>925</v>
      </c>
      <c r="F236" s="51"/>
      <c r="G236" s="52" t="s">
        <v>1041</v>
      </c>
      <c r="H236" s="53" t="s">
        <v>1021</v>
      </c>
      <c r="I236" s="50" t="s">
        <v>138</v>
      </c>
      <c r="J236" s="210"/>
      <c r="K236" s="250"/>
      <c r="L236" s="251"/>
      <c r="M236" s="252"/>
      <c r="N236" s="253"/>
      <c r="O236" s="252"/>
      <c r="P236" s="254"/>
      <c r="Q236" s="418"/>
      <c r="R236" s="419"/>
      <c r="S236" s="420"/>
      <c r="T236" s="421"/>
      <c r="U236" s="420"/>
      <c r="V236" s="422"/>
      <c r="W236" s="597"/>
      <c r="X236" s="598"/>
      <c r="Y236" s="599"/>
      <c r="Z236" s="600"/>
      <c r="AA236" s="599"/>
      <c r="AB236" s="601"/>
      <c r="AC236" s="781"/>
      <c r="AD236" s="782"/>
      <c r="AE236" s="783"/>
      <c r="AF236" s="784"/>
      <c r="AG236" s="783"/>
      <c r="AH236" s="957"/>
      <c r="AI236" s="920" t="s">
        <v>927</v>
      </c>
    </row>
    <row r="237" spans="1:35" ht="26.25" x14ac:dyDescent="0.25">
      <c r="A237" s="49" t="s">
        <v>1042</v>
      </c>
      <c r="B237" s="50" t="s">
        <v>40</v>
      </c>
      <c r="C237" s="50" t="s">
        <v>41</v>
      </c>
      <c r="D237" s="50" t="s">
        <v>1028</v>
      </c>
      <c r="E237" s="50" t="s">
        <v>1043</v>
      </c>
      <c r="F237" s="51"/>
      <c r="G237" s="52" t="s">
        <v>1044</v>
      </c>
      <c r="H237" s="53" t="s">
        <v>1045</v>
      </c>
      <c r="I237" s="50" t="s">
        <v>648</v>
      </c>
      <c r="J237" s="210"/>
      <c r="K237" s="250"/>
      <c r="L237" s="251"/>
      <c r="M237" s="252"/>
      <c r="N237" s="253"/>
      <c r="O237" s="252"/>
      <c r="P237" s="254"/>
      <c r="Q237" s="418"/>
      <c r="R237" s="419"/>
      <c r="S237" s="420"/>
      <c r="T237" s="421"/>
      <c r="U237" s="420"/>
      <c r="V237" s="422"/>
      <c r="W237" s="597"/>
      <c r="X237" s="598"/>
      <c r="Y237" s="599"/>
      <c r="Z237" s="600"/>
      <c r="AA237" s="599"/>
      <c r="AB237" s="601"/>
      <c r="AC237" s="781"/>
      <c r="AD237" s="782"/>
      <c r="AE237" s="783"/>
      <c r="AF237" s="784"/>
      <c r="AG237" s="783"/>
      <c r="AH237" s="957"/>
      <c r="AI237" s="920" t="s">
        <v>1035</v>
      </c>
    </row>
    <row r="238" spans="1:35" ht="39" x14ac:dyDescent="0.25">
      <c r="A238" s="49" t="s">
        <v>1046</v>
      </c>
      <c r="B238" s="50" t="s">
        <v>40</v>
      </c>
      <c r="C238" s="50" t="s">
        <v>41</v>
      </c>
      <c r="D238" s="50" t="s">
        <v>1028</v>
      </c>
      <c r="E238" s="50" t="s">
        <v>1047</v>
      </c>
      <c r="F238" s="51"/>
      <c r="G238" s="52" t="s">
        <v>1048</v>
      </c>
      <c r="H238" s="53" t="s">
        <v>1049</v>
      </c>
      <c r="I238" s="50" t="s">
        <v>73</v>
      </c>
      <c r="J238" s="210"/>
      <c r="K238" s="250"/>
      <c r="L238" s="251"/>
      <c r="M238" s="252"/>
      <c r="N238" s="253"/>
      <c r="O238" s="252"/>
      <c r="P238" s="254"/>
      <c r="Q238" s="418"/>
      <c r="R238" s="419"/>
      <c r="S238" s="420"/>
      <c r="T238" s="421"/>
      <c r="U238" s="420"/>
      <c r="V238" s="422"/>
      <c r="W238" s="597"/>
      <c r="X238" s="598"/>
      <c r="Y238" s="599"/>
      <c r="Z238" s="600"/>
      <c r="AA238" s="599"/>
      <c r="AB238" s="601"/>
      <c r="AC238" s="781"/>
      <c r="AD238" s="782"/>
      <c r="AE238" s="783"/>
      <c r="AF238" s="784"/>
      <c r="AG238" s="783"/>
      <c r="AH238" s="957"/>
      <c r="AI238" s="920" t="s">
        <v>1035</v>
      </c>
    </row>
    <row r="239" spans="1:35" ht="51.75" x14ac:dyDescent="0.25">
      <c r="A239" s="49" t="s">
        <v>1050</v>
      </c>
      <c r="B239" s="50" t="s">
        <v>40</v>
      </c>
      <c r="C239" s="50" t="s">
        <v>41</v>
      </c>
      <c r="D239" s="50" t="s">
        <v>1028</v>
      </c>
      <c r="E239" s="50" t="s">
        <v>1051</v>
      </c>
      <c r="F239" s="51"/>
      <c r="G239" s="52" t="s">
        <v>1052</v>
      </c>
      <c r="H239" s="53" t="s">
        <v>1053</v>
      </c>
      <c r="I239" s="50" t="s">
        <v>73</v>
      </c>
      <c r="J239" s="210"/>
      <c r="K239" s="250"/>
      <c r="L239" s="251"/>
      <c r="M239" s="252"/>
      <c r="N239" s="253"/>
      <c r="O239" s="252"/>
      <c r="P239" s="254"/>
      <c r="Q239" s="418"/>
      <c r="R239" s="419"/>
      <c r="S239" s="420"/>
      <c r="T239" s="421"/>
      <c r="U239" s="420"/>
      <c r="V239" s="422"/>
      <c r="W239" s="597"/>
      <c r="X239" s="598"/>
      <c r="Y239" s="599"/>
      <c r="Z239" s="600"/>
      <c r="AA239" s="599"/>
      <c r="AB239" s="601"/>
      <c r="AC239" s="781"/>
      <c r="AD239" s="782"/>
      <c r="AE239" s="783"/>
      <c r="AF239" s="784"/>
      <c r="AG239" s="783"/>
      <c r="AH239" s="957"/>
      <c r="AI239" s="920" t="s">
        <v>1054</v>
      </c>
    </row>
    <row r="240" spans="1:35" ht="26.25" x14ac:dyDescent="0.25">
      <c r="A240" s="49" t="s">
        <v>1055</v>
      </c>
      <c r="B240" s="50" t="s">
        <v>40</v>
      </c>
      <c r="C240" s="50" t="s">
        <v>41</v>
      </c>
      <c r="D240" s="50" t="s">
        <v>1028</v>
      </c>
      <c r="E240" s="50" t="s">
        <v>1056</v>
      </c>
      <c r="F240" s="51"/>
      <c r="G240" s="52" t="s">
        <v>1057</v>
      </c>
      <c r="H240" s="53" t="s">
        <v>996</v>
      </c>
      <c r="I240" s="50" t="s">
        <v>648</v>
      </c>
      <c r="J240" s="210"/>
      <c r="K240" s="250"/>
      <c r="L240" s="251"/>
      <c r="M240" s="252"/>
      <c r="N240" s="253"/>
      <c r="O240" s="252"/>
      <c r="P240" s="254"/>
      <c r="Q240" s="418"/>
      <c r="R240" s="419"/>
      <c r="S240" s="420"/>
      <c r="T240" s="421"/>
      <c r="U240" s="420"/>
      <c r="V240" s="422"/>
      <c r="W240" s="597"/>
      <c r="X240" s="598"/>
      <c r="Y240" s="599"/>
      <c r="Z240" s="600"/>
      <c r="AA240" s="599"/>
      <c r="AB240" s="601"/>
      <c r="AC240" s="781"/>
      <c r="AD240" s="782"/>
      <c r="AE240" s="783"/>
      <c r="AF240" s="784"/>
      <c r="AG240" s="783"/>
      <c r="AH240" s="957"/>
      <c r="AI240" s="920" t="s">
        <v>1058</v>
      </c>
    </row>
    <row r="241" spans="1:35" ht="26.25" x14ac:dyDescent="0.25">
      <c r="A241" s="49" t="s">
        <v>1059</v>
      </c>
      <c r="B241" s="50" t="s">
        <v>40</v>
      </c>
      <c r="C241" s="50" t="s">
        <v>41</v>
      </c>
      <c r="D241" s="50" t="s">
        <v>1028</v>
      </c>
      <c r="E241" s="50" t="s">
        <v>1060</v>
      </c>
      <c r="F241" s="51"/>
      <c r="G241" s="52" t="s">
        <v>1061</v>
      </c>
      <c r="H241" s="53" t="s">
        <v>1000</v>
      </c>
      <c r="I241" s="50" t="s">
        <v>648</v>
      </c>
      <c r="J241" s="210"/>
      <c r="K241" s="250"/>
      <c r="L241" s="251"/>
      <c r="M241" s="252"/>
      <c r="N241" s="253"/>
      <c r="O241" s="252"/>
      <c r="P241" s="254"/>
      <c r="Q241" s="418"/>
      <c r="R241" s="419"/>
      <c r="S241" s="420"/>
      <c r="T241" s="421"/>
      <c r="U241" s="420"/>
      <c r="V241" s="422"/>
      <c r="W241" s="597"/>
      <c r="X241" s="598"/>
      <c r="Y241" s="599"/>
      <c r="Z241" s="600"/>
      <c r="AA241" s="599"/>
      <c r="AB241" s="601"/>
      <c r="AC241" s="781"/>
      <c r="AD241" s="782"/>
      <c r="AE241" s="783"/>
      <c r="AF241" s="784"/>
      <c r="AG241" s="783"/>
      <c r="AH241" s="957"/>
      <c r="AI241" s="920" t="s">
        <v>1035</v>
      </c>
    </row>
    <row r="242" spans="1:35" ht="26.25" x14ac:dyDescent="0.25">
      <c r="A242" s="49" t="s">
        <v>1062</v>
      </c>
      <c r="B242" s="50" t="s">
        <v>40</v>
      </c>
      <c r="C242" s="50" t="s">
        <v>41</v>
      </c>
      <c r="D242" s="50" t="s">
        <v>1028</v>
      </c>
      <c r="E242" s="50" t="s">
        <v>1063</v>
      </c>
      <c r="F242" s="51"/>
      <c r="G242" s="52" t="s">
        <v>1064</v>
      </c>
      <c r="H242" s="53" t="s">
        <v>1065</v>
      </c>
      <c r="I242" s="50" t="s">
        <v>648</v>
      </c>
      <c r="J242" s="210"/>
      <c r="K242" s="250"/>
      <c r="L242" s="251"/>
      <c r="M242" s="252"/>
      <c r="N242" s="253"/>
      <c r="O242" s="252"/>
      <c r="P242" s="254"/>
      <c r="Q242" s="418"/>
      <c r="R242" s="419"/>
      <c r="S242" s="420"/>
      <c r="T242" s="421"/>
      <c r="U242" s="420"/>
      <c r="V242" s="422"/>
      <c r="W242" s="597"/>
      <c r="X242" s="598"/>
      <c r="Y242" s="599"/>
      <c r="Z242" s="600"/>
      <c r="AA242" s="599"/>
      <c r="AB242" s="601"/>
      <c r="AC242" s="781"/>
      <c r="AD242" s="782"/>
      <c r="AE242" s="783"/>
      <c r="AF242" s="784"/>
      <c r="AG242" s="783"/>
      <c r="AH242" s="957"/>
      <c r="AI242" s="920" t="s">
        <v>1035</v>
      </c>
    </row>
    <row r="243" spans="1:35" ht="39" x14ac:dyDescent="0.25">
      <c r="A243" s="49" t="s">
        <v>1066</v>
      </c>
      <c r="B243" s="50" t="s">
        <v>40</v>
      </c>
      <c r="C243" s="50" t="s">
        <v>41</v>
      </c>
      <c r="D243" s="50" t="s">
        <v>1028</v>
      </c>
      <c r="E243" s="50" t="s">
        <v>92</v>
      </c>
      <c r="F243" s="51"/>
      <c r="G243" s="52" t="s">
        <v>1067</v>
      </c>
      <c r="H243" s="53" t="s">
        <v>1068</v>
      </c>
      <c r="I243" s="50" t="s">
        <v>648</v>
      </c>
      <c r="J243" s="210"/>
      <c r="K243" s="250"/>
      <c r="L243" s="251"/>
      <c r="M243" s="252"/>
      <c r="N243" s="253"/>
      <c r="O243" s="252"/>
      <c r="P243" s="254"/>
      <c r="Q243" s="418"/>
      <c r="R243" s="419"/>
      <c r="S243" s="420"/>
      <c r="T243" s="421"/>
      <c r="U243" s="420"/>
      <c r="V243" s="422"/>
      <c r="W243" s="597"/>
      <c r="X243" s="598"/>
      <c r="Y243" s="599"/>
      <c r="Z243" s="600"/>
      <c r="AA243" s="599"/>
      <c r="AB243" s="601"/>
      <c r="AC243" s="781"/>
      <c r="AD243" s="782"/>
      <c r="AE243" s="783"/>
      <c r="AF243" s="784"/>
      <c r="AG243" s="783"/>
      <c r="AH243" s="957"/>
      <c r="AI243" s="920" t="s">
        <v>95</v>
      </c>
    </row>
    <row r="244" spans="1:35" ht="26.25" x14ac:dyDescent="0.25">
      <c r="A244" s="49" t="s">
        <v>1069</v>
      </c>
      <c r="B244" s="50" t="s">
        <v>40</v>
      </c>
      <c r="C244" s="50" t="s">
        <v>41</v>
      </c>
      <c r="D244" s="50" t="s">
        <v>1028</v>
      </c>
      <c r="E244" s="50" t="s">
        <v>1070</v>
      </c>
      <c r="F244" s="51"/>
      <c r="G244" s="52" t="s">
        <v>1071</v>
      </c>
      <c r="H244" s="53" t="s">
        <v>1000</v>
      </c>
      <c r="I244" s="50" t="s">
        <v>73</v>
      </c>
      <c r="J244" s="210"/>
      <c r="K244" s="250"/>
      <c r="L244" s="251"/>
      <c r="M244" s="252"/>
      <c r="N244" s="253"/>
      <c r="O244" s="252"/>
      <c r="P244" s="254"/>
      <c r="Q244" s="418"/>
      <c r="R244" s="419"/>
      <c r="S244" s="420"/>
      <c r="T244" s="421"/>
      <c r="U244" s="420"/>
      <c r="V244" s="422"/>
      <c r="W244" s="597"/>
      <c r="X244" s="598"/>
      <c r="Y244" s="599"/>
      <c r="Z244" s="600"/>
      <c r="AA244" s="599"/>
      <c r="AB244" s="601"/>
      <c r="AC244" s="781"/>
      <c r="AD244" s="782"/>
      <c r="AE244" s="783"/>
      <c r="AF244" s="784"/>
      <c r="AG244" s="783"/>
      <c r="AH244" s="957"/>
      <c r="AI244" s="920" t="s">
        <v>1072</v>
      </c>
    </row>
    <row r="245" spans="1:35" ht="26.25" x14ac:dyDescent="0.25">
      <c r="A245" s="49" t="s">
        <v>1073</v>
      </c>
      <c r="B245" s="50" t="s">
        <v>40</v>
      </c>
      <c r="C245" s="50" t="s">
        <v>41</v>
      </c>
      <c r="D245" s="50" t="s">
        <v>1028</v>
      </c>
      <c r="E245" s="50" t="s">
        <v>841</v>
      </c>
      <c r="F245" s="51"/>
      <c r="G245" s="52" t="s">
        <v>1074</v>
      </c>
      <c r="H245" s="53" t="s">
        <v>1075</v>
      </c>
      <c r="I245" s="50" t="s">
        <v>73</v>
      </c>
      <c r="J245" s="210"/>
      <c r="K245" s="250"/>
      <c r="L245" s="251"/>
      <c r="M245" s="252"/>
      <c r="N245" s="253"/>
      <c r="O245" s="252"/>
      <c r="P245" s="254"/>
      <c r="Q245" s="418"/>
      <c r="R245" s="419"/>
      <c r="S245" s="420"/>
      <c r="T245" s="421"/>
      <c r="U245" s="420"/>
      <c r="V245" s="422"/>
      <c r="W245" s="597"/>
      <c r="X245" s="598"/>
      <c r="Y245" s="599"/>
      <c r="Z245" s="600"/>
      <c r="AA245" s="599"/>
      <c r="AB245" s="601"/>
      <c r="AC245" s="781"/>
      <c r="AD245" s="782"/>
      <c r="AE245" s="783"/>
      <c r="AF245" s="784"/>
      <c r="AG245" s="783"/>
      <c r="AH245" s="957"/>
      <c r="AI245" s="920" t="s">
        <v>843</v>
      </c>
    </row>
    <row r="246" spans="1:35" ht="26.25" x14ac:dyDescent="0.25">
      <c r="A246" s="49" t="s">
        <v>1076</v>
      </c>
      <c r="B246" s="50" t="s">
        <v>40</v>
      </c>
      <c r="C246" s="50" t="s">
        <v>41</v>
      </c>
      <c r="D246" s="50" t="s">
        <v>1028</v>
      </c>
      <c r="E246" s="50" t="s">
        <v>1077</v>
      </c>
      <c r="F246" s="51"/>
      <c r="G246" s="52" t="s">
        <v>1078</v>
      </c>
      <c r="H246" s="53" t="s">
        <v>1079</v>
      </c>
      <c r="I246" s="50" t="s">
        <v>648</v>
      </c>
      <c r="J246" s="210"/>
      <c r="K246" s="250"/>
      <c r="L246" s="251"/>
      <c r="M246" s="252"/>
      <c r="N246" s="253"/>
      <c r="O246" s="252"/>
      <c r="P246" s="254"/>
      <c r="Q246" s="418"/>
      <c r="R246" s="419"/>
      <c r="S246" s="420"/>
      <c r="T246" s="421"/>
      <c r="U246" s="420"/>
      <c r="V246" s="422"/>
      <c r="W246" s="597"/>
      <c r="X246" s="598"/>
      <c r="Y246" s="599"/>
      <c r="Z246" s="600"/>
      <c r="AA246" s="599"/>
      <c r="AB246" s="601"/>
      <c r="AC246" s="781"/>
      <c r="AD246" s="782"/>
      <c r="AE246" s="783"/>
      <c r="AF246" s="784"/>
      <c r="AG246" s="783"/>
      <c r="AH246" s="957"/>
      <c r="AI246" s="920" t="s">
        <v>1035</v>
      </c>
    </row>
    <row r="247" spans="1:35" ht="51.75" x14ac:dyDescent="0.25">
      <c r="A247" s="49" t="s">
        <v>1080</v>
      </c>
      <c r="B247" s="50" t="s">
        <v>40</v>
      </c>
      <c r="C247" s="50" t="s">
        <v>41</v>
      </c>
      <c r="D247" s="50" t="s">
        <v>1028</v>
      </c>
      <c r="E247" s="50" t="s">
        <v>1081</v>
      </c>
      <c r="F247" s="51"/>
      <c r="G247" s="52" t="s">
        <v>1082</v>
      </c>
      <c r="H247" s="53" t="s">
        <v>1053</v>
      </c>
      <c r="I247" s="50" t="s">
        <v>648</v>
      </c>
      <c r="J247" s="210"/>
      <c r="K247" s="250"/>
      <c r="L247" s="251"/>
      <c r="M247" s="252"/>
      <c r="N247" s="253"/>
      <c r="O247" s="252"/>
      <c r="P247" s="254"/>
      <c r="Q247" s="418"/>
      <c r="R247" s="419"/>
      <c r="S247" s="420"/>
      <c r="T247" s="421"/>
      <c r="U247" s="420"/>
      <c r="V247" s="422"/>
      <c r="W247" s="597"/>
      <c r="X247" s="598"/>
      <c r="Y247" s="599"/>
      <c r="Z247" s="600"/>
      <c r="AA247" s="599"/>
      <c r="AB247" s="601"/>
      <c r="AC247" s="781"/>
      <c r="AD247" s="782"/>
      <c r="AE247" s="783"/>
      <c r="AF247" s="784"/>
      <c r="AG247" s="783"/>
      <c r="AH247" s="957"/>
      <c r="AI247" s="920" t="s">
        <v>1035</v>
      </c>
    </row>
    <row r="248" spans="1:35" ht="39" x14ac:dyDescent="0.25">
      <c r="A248" s="49" t="s">
        <v>1083</v>
      </c>
      <c r="B248" s="50" t="s">
        <v>40</v>
      </c>
      <c r="C248" s="50" t="s">
        <v>41</v>
      </c>
      <c r="D248" s="50" t="s">
        <v>1028</v>
      </c>
      <c r="E248" s="50" t="s">
        <v>932</v>
      </c>
      <c r="F248" s="51"/>
      <c r="G248" s="52" t="s">
        <v>1084</v>
      </c>
      <c r="H248" s="53" t="s">
        <v>1000</v>
      </c>
      <c r="I248" s="50" t="s">
        <v>648</v>
      </c>
      <c r="J248" s="210"/>
      <c r="K248" s="250"/>
      <c r="L248" s="251"/>
      <c r="M248" s="252"/>
      <c r="N248" s="253"/>
      <c r="O248" s="252"/>
      <c r="P248" s="254"/>
      <c r="Q248" s="418"/>
      <c r="R248" s="419"/>
      <c r="S248" s="420"/>
      <c r="T248" s="421"/>
      <c r="U248" s="420"/>
      <c r="V248" s="422"/>
      <c r="W248" s="597"/>
      <c r="X248" s="598"/>
      <c r="Y248" s="599"/>
      <c r="Z248" s="600"/>
      <c r="AA248" s="599"/>
      <c r="AB248" s="601"/>
      <c r="AC248" s="781"/>
      <c r="AD248" s="782"/>
      <c r="AE248" s="783"/>
      <c r="AF248" s="784"/>
      <c r="AG248" s="783"/>
      <c r="AH248" s="957"/>
      <c r="AI248" s="920" t="s">
        <v>1085</v>
      </c>
    </row>
    <row r="249" spans="1:35" ht="39" x14ac:dyDescent="0.25">
      <c r="A249" s="49" t="s">
        <v>1086</v>
      </c>
      <c r="B249" s="50" t="s">
        <v>40</v>
      </c>
      <c r="C249" s="50" t="s">
        <v>41</v>
      </c>
      <c r="D249" s="50" t="s">
        <v>1028</v>
      </c>
      <c r="E249" s="50" t="s">
        <v>274</v>
      </c>
      <c r="F249" s="51"/>
      <c r="G249" s="52" t="s">
        <v>1087</v>
      </c>
      <c r="H249" s="53" t="s">
        <v>1004</v>
      </c>
      <c r="I249" s="50" t="s">
        <v>648</v>
      </c>
      <c r="J249" s="210"/>
      <c r="K249" s="250"/>
      <c r="L249" s="251"/>
      <c r="M249" s="252"/>
      <c r="N249" s="253"/>
      <c r="O249" s="252"/>
      <c r="P249" s="254"/>
      <c r="Q249" s="418"/>
      <c r="R249" s="419"/>
      <c r="S249" s="420"/>
      <c r="T249" s="421"/>
      <c r="U249" s="420"/>
      <c r="V249" s="422"/>
      <c r="W249" s="597"/>
      <c r="X249" s="598"/>
      <c r="Y249" s="599"/>
      <c r="Z249" s="600"/>
      <c r="AA249" s="599"/>
      <c r="AB249" s="601"/>
      <c r="AC249" s="781"/>
      <c r="AD249" s="782"/>
      <c r="AE249" s="783"/>
      <c r="AF249" s="784"/>
      <c r="AG249" s="783"/>
      <c r="AH249" s="957"/>
      <c r="AI249" s="920" t="s">
        <v>277</v>
      </c>
    </row>
    <row r="250" spans="1:35" ht="39" x14ac:dyDescent="0.25">
      <c r="A250" s="49" t="s">
        <v>1088</v>
      </c>
      <c r="B250" s="50" t="s">
        <v>40</v>
      </c>
      <c r="C250" s="50" t="s">
        <v>41</v>
      </c>
      <c r="D250" s="50" t="s">
        <v>1028</v>
      </c>
      <c r="E250" s="50" t="s">
        <v>97</v>
      </c>
      <c r="F250" s="51"/>
      <c r="G250" s="52" t="s">
        <v>1089</v>
      </c>
      <c r="H250" s="53" t="s">
        <v>1090</v>
      </c>
      <c r="I250" s="50" t="s">
        <v>648</v>
      </c>
      <c r="J250" s="210"/>
      <c r="K250" s="250"/>
      <c r="L250" s="251"/>
      <c r="M250" s="252"/>
      <c r="N250" s="253"/>
      <c r="O250" s="252"/>
      <c r="P250" s="254"/>
      <c r="Q250" s="418"/>
      <c r="R250" s="419"/>
      <c r="S250" s="420"/>
      <c r="T250" s="421"/>
      <c r="U250" s="420"/>
      <c r="V250" s="422"/>
      <c r="W250" s="597"/>
      <c r="X250" s="598"/>
      <c r="Y250" s="599"/>
      <c r="Z250" s="600"/>
      <c r="AA250" s="599"/>
      <c r="AB250" s="601"/>
      <c r="AC250" s="781"/>
      <c r="AD250" s="782"/>
      <c r="AE250" s="783"/>
      <c r="AF250" s="784"/>
      <c r="AG250" s="783"/>
      <c r="AH250" s="957"/>
      <c r="AI250" s="920" t="s">
        <v>1091</v>
      </c>
    </row>
    <row r="251" spans="1:35" ht="26.25" x14ac:dyDescent="0.25">
      <c r="A251" s="49" t="s">
        <v>1092</v>
      </c>
      <c r="B251" s="50" t="s">
        <v>40</v>
      </c>
      <c r="C251" s="50" t="s">
        <v>41</v>
      </c>
      <c r="D251" s="50" t="s">
        <v>1028</v>
      </c>
      <c r="E251" s="50" t="s">
        <v>1093</v>
      </c>
      <c r="F251" s="51"/>
      <c r="G251" s="52" t="s">
        <v>1094</v>
      </c>
      <c r="H251" s="53" t="s">
        <v>1045</v>
      </c>
      <c r="I251" s="50" t="s">
        <v>648</v>
      </c>
      <c r="J251" s="210"/>
      <c r="K251" s="250"/>
      <c r="L251" s="251"/>
      <c r="M251" s="252"/>
      <c r="N251" s="253"/>
      <c r="O251" s="252"/>
      <c r="P251" s="254"/>
      <c r="Q251" s="418"/>
      <c r="R251" s="419"/>
      <c r="S251" s="420"/>
      <c r="T251" s="421"/>
      <c r="U251" s="420"/>
      <c r="V251" s="422"/>
      <c r="W251" s="597"/>
      <c r="X251" s="598"/>
      <c r="Y251" s="599"/>
      <c r="Z251" s="600"/>
      <c r="AA251" s="599"/>
      <c r="AB251" s="601"/>
      <c r="AC251" s="781"/>
      <c r="AD251" s="782"/>
      <c r="AE251" s="783"/>
      <c r="AF251" s="784"/>
      <c r="AG251" s="783"/>
      <c r="AH251" s="957"/>
      <c r="AI251" s="920" t="s">
        <v>1035</v>
      </c>
    </row>
    <row r="252" spans="1:35" ht="26.25" x14ac:dyDescent="0.25">
      <c r="A252" s="49" t="s">
        <v>1095</v>
      </c>
      <c r="B252" s="50" t="s">
        <v>40</v>
      </c>
      <c r="C252" s="50" t="s">
        <v>41</v>
      </c>
      <c r="D252" s="50" t="s">
        <v>1028</v>
      </c>
      <c r="E252" s="50" t="s">
        <v>1096</v>
      </c>
      <c r="F252" s="51"/>
      <c r="G252" s="52" t="s">
        <v>1097</v>
      </c>
      <c r="H252" s="53" t="s">
        <v>1021</v>
      </c>
      <c r="I252" s="50" t="s">
        <v>648</v>
      </c>
      <c r="J252" s="210"/>
      <c r="K252" s="250"/>
      <c r="L252" s="251"/>
      <c r="M252" s="252"/>
      <c r="N252" s="253"/>
      <c r="O252" s="252"/>
      <c r="P252" s="254"/>
      <c r="Q252" s="418"/>
      <c r="R252" s="419"/>
      <c r="S252" s="420"/>
      <c r="T252" s="421"/>
      <c r="U252" s="420"/>
      <c r="V252" s="422"/>
      <c r="W252" s="597"/>
      <c r="X252" s="598"/>
      <c r="Y252" s="599"/>
      <c r="Z252" s="600"/>
      <c r="AA252" s="599"/>
      <c r="AB252" s="601"/>
      <c r="AC252" s="781"/>
      <c r="AD252" s="782"/>
      <c r="AE252" s="783"/>
      <c r="AF252" s="784"/>
      <c r="AG252" s="783"/>
      <c r="AH252" s="957"/>
      <c r="AI252" s="920" t="s">
        <v>1098</v>
      </c>
    </row>
    <row r="253" spans="1:35" ht="39" x14ac:dyDescent="0.25">
      <c r="A253" s="49" t="s">
        <v>1099</v>
      </c>
      <c r="B253" s="50" t="s">
        <v>40</v>
      </c>
      <c r="C253" s="50" t="s">
        <v>41</v>
      </c>
      <c r="D253" s="50" t="s">
        <v>1028</v>
      </c>
      <c r="E253" s="50" t="s">
        <v>282</v>
      </c>
      <c r="F253" s="51"/>
      <c r="G253" s="52" t="s">
        <v>1100</v>
      </c>
      <c r="H253" s="53" t="s">
        <v>1090</v>
      </c>
      <c r="I253" s="50" t="s">
        <v>648</v>
      </c>
      <c r="J253" s="210"/>
      <c r="K253" s="250"/>
      <c r="L253" s="251"/>
      <c r="M253" s="252"/>
      <c r="N253" s="253"/>
      <c r="O253" s="252"/>
      <c r="P253" s="254"/>
      <c r="Q253" s="418"/>
      <c r="R253" s="419"/>
      <c r="S253" s="420"/>
      <c r="T253" s="421"/>
      <c r="U253" s="420"/>
      <c r="V253" s="422"/>
      <c r="W253" s="597"/>
      <c r="X253" s="598"/>
      <c r="Y253" s="599"/>
      <c r="Z253" s="600"/>
      <c r="AA253" s="599"/>
      <c r="AB253" s="601"/>
      <c r="AC253" s="781"/>
      <c r="AD253" s="782"/>
      <c r="AE253" s="783"/>
      <c r="AF253" s="784"/>
      <c r="AG253" s="783"/>
      <c r="AH253" s="957"/>
      <c r="AI253" s="920" t="s">
        <v>441</v>
      </c>
    </row>
    <row r="254" spans="1:35" ht="39" x14ac:dyDescent="0.25">
      <c r="A254" s="49" t="s">
        <v>1101</v>
      </c>
      <c r="B254" s="50" t="s">
        <v>40</v>
      </c>
      <c r="C254" s="50" t="s">
        <v>41</v>
      </c>
      <c r="D254" s="50" t="s">
        <v>1028</v>
      </c>
      <c r="E254" s="50" t="s">
        <v>220</v>
      </c>
      <c r="F254" s="51"/>
      <c r="G254" s="52" t="s">
        <v>1102</v>
      </c>
      <c r="H254" s="53" t="s">
        <v>1090</v>
      </c>
      <c r="I254" s="50" t="s">
        <v>73</v>
      </c>
      <c r="J254" s="210"/>
      <c r="K254" s="250"/>
      <c r="L254" s="251"/>
      <c r="M254" s="252"/>
      <c r="N254" s="253"/>
      <c r="O254" s="252"/>
      <c r="P254" s="254"/>
      <c r="Q254" s="418"/>
      <c r="R254" s="419"/>
      <c r="S254" s="420"/>
      <c r="T254" s="421"/>
      <c r="U254" s="420"/>
      <c r="V254" s="422"/>
      <c r="W254" s="597"/>
      <c r="X254" s="598"/>
      <c r="Y254" s="599"/>
      <c r="Z254" s="600"/>
      <c r="AA254" s="599"/>
      <c r="AB254" s="601"/>
      <c r="AC254" s="781"/>
      <c r="AD254" s="782"/>
      <c r="AE254" s="783"/>
      <c r="AF254" s="784"/>
      <c r="AG254" s="783"/>
      <c r="AH254" s="957"/>
      <c r="AI254" s="920" t="s">
        <v>1103</v>
      </c>
    </row>
    <row r="255" spans="1:35" ht="26.25" x14ac:dyDescent="0.25">
      <c r="A255" s="49" t="s">
        <v>1104</v>
      </c>
      <c r="B255" s="50" t="s">
        <v>40</v>
      </c>
      <c r="C255" s="50" t="s">
        <v>41</v>
      </c>
      <c r="D255" s="50" t="s">
        <v>1028</v>
      </c>
      <c r="E255" s="50" t="s">
        <v>1105</v>
      </c>
      <c r="F255" s="51"/>
      <c r="G255" s="52" t="s">
        <v>1106</v>
      </c>
      <c r="H255" s="53" t="s">
        <v>996</v>
      </c>
      <c r="I255" s="50" t="s">
        <v>648</v>
      </c>
      <c r="J255" s="210"/>
      <c r="K255" s="250"/>
      <c r="L255" s="251"/>
      <c r="M255" s="252"/>
      <c r="N255" s="253"/>
      <c r="O255" s="252"/>
      <c r="P255" s="254"/>
      <c r="Q255" s="418"/>
      <c r="R255" s="419"/>
      <c r="S255" s="420"/>
      <c r="T255" s="421"/>
      <c r="U255" s="420"/>
      <c r="V255" s="422"/>
      <c r="W255" s="597"/>
      <c r="X255" s="598"/>
      <c r="Y255" s="599"/>
      <c r="Z255" s="600"/>
      <c r="AA255" s="599"/>
      <c r="AB255" s="601"/>
      <c r="AC255" s="781"/>
      <c r="AD255" s="782"/>
      <c r="AE255" s="783"/>
      <c r="AF255" s="784"/>
      <c r="AG255" s="783"/>
      <c r="AH255" s="957"/>
      <c r="AI255" s="920" t="s">
        <v>1035</v>
      </c>
    </row>
    <row r="256" spans="1:35" ht="39" x14ac:dyDescent="0.25">
      <c r="A256" s="76" t="s">
        <v>1107</v>
      </c>
      <c r="B256" s="77" t="s">
        <v>61</v>
      </c>
      <c r="C256" s="77" t="s">
        <v>41</v>
      </c>
      <c r="D256" s="77" t="s">
        <v>1028</v>
      </c>
      <c r="E256" s="77"/>
      <c r="F256" s="78" t="s">
        <v>55</v>
      </c>
      <c r="G256" s="79" t="s">
        <v>504</v>
      </c>
      <c r="H256" s="80"/>
      <c r="I256" s="77"/>
      <c r="J256" s="210"/>
      <c r="K256" s="250" t="s">
        <v>1108</v>
      </c>
      <c r="L256" s="251" t="s">
        <v>1109</v>
      </c>
      <c r="M256" s="258">
        <f>(1051917/500000)-K256</f>
        <v>-28.896166000000001</v>
      </c>
      <c r="N256" s="259">
        <f>33932/500000</f>
        <v>6.7863999999999994E-2</v>
      </c>
      <c r="O256" s="258">
        <f>(1051917/50000)-K256</f>
        <v>-9.9616599999999984</v>
      </c>
      <c r="P256" s="260">
        <f>33932/50000</f>
        <v>0.67864000000000002</v>
      </c>
      <c r="Q256" s="418" t="s">
        <v>114</v>
      </c>
      <c r="R256" s="419" t="s">
        <v>115</v>
      </c>
      <c r="S256" s="428">
        <f>(578592/500000)-Q256</f>
        <v>-21.842815999999999</v>
      </c>
      <c r="T256" s="429">
        <f>25156/500000</f>
        <v>5.0312000000000003E-2</v>
      </c>
      <c r="U256" s="428">
        <f>(578592/50000)-Q256</f>
        <v>-11.42816</v>
      </c>
      <c r="V256" s="430">
        <f>25156/50000</f>
        <v>0.50312000000000001</v>
      </c>
      <c r="W256" s="597" t="s">
        <v>116</v>
      </c>
      <c r="X256" s="598" t="s">
        <v>1110</v>
      </c>
      <c r="Y256" s="608">
        <f>189789/500000-W256</f>
        <v>-4.6204219999999996</v>
      </c>
      <c r="Z256" s="609">
        <f>37957/500000</f>
        <v>7.5913999999999995E-2</v>
      </c>
      <c r="AA256" s="608">
        <f>(189789/50000)-W256</f>
        <v>-1.2042199999999998</v>
      </c>
      <c r="AB256" s="601">
        <f>37957/50000</f>
        <v>0.75914000000000004</v>
      </c>
      <c r="AC256" s="781" t="s">
        <v>70</v>
      </c>
      <c r="AD256" s="782" t="s">
        <v>71</v>
      </c>
      <c r="AE256" s="822">
        <f>263509/500000-AC256</f>
        <v>-2.472982</v>
      </c>
      <c r="AF256" s="823">
        <f>87836/50000</f>
        <v>1.7567200000000001</v>
      </c>
      <c r="AG256" s="822">
        <f>(263509/50000)-AC256</f>
        <v>2.2701799999999999</v>
      </c>
      <c r="AH256" s="970">
        <f>87836/50000</f>
        <v>1.7567200000000001</v>
      </c>
      <c r="AI256" s="925"/>
    </row>
    <row r="257" spans="1:35" ht="39" x14ac:dyDescent="0.25">
      <c r="A257" s="76" t="s">
        <v>1107</v>
      </c>
      <c r="B257" s="77" t="s">
        <v>61</v>
      </c>
      <c r="C257" s="77" t="s">
        <v>41</v>
      </c>
      <c r="D257" s="77" t="s">
        <v>1028</v>
      </c>
      <c r="E257" s="77"/>
      <c r="F257" s="78" t="s">
        <v>63</v>
      </c>
      <c r="G257" s="79" t="s">
        <v>504</v>
      </c>
      <c r="H257" s="80"/>
      <c r="I257" s="77"/>
      <c r="J257" s="210"/>
      <c r="K257" s="250" t="s">
        <v>1111</v>
      </c>
      <c r="L257" s="251" t="s">
        <v>1112</v>
      </c>
      <c r="M257" s="258">
        <f>(1051917/500000)-K257</f>
        <v>-290.89616599999999</v>
      </c>
      <c r="N257" s="259">
        <f>3590/500000</f>
        <v>7.1799999999999998E-3</v>
      </c>
      <c r="O257" s="258">
        <f>(1051917/50000)-K257</f>
        <v>-271.96165999999999</v>
      </c>
      <c r="P257" s="260">
        <f>3590/50000</f>
        <v>7.1800000000000003E-2</v>
      </c>
      <c r="Q257" s="418" t="s">
        <v>1113</v>
      </c>
      <c r="R257" s="419" t="s">
        <v>1114</v>
      </c>
      <c r="S257" s="428">
        <f>(578592/500000)-Q257</f>
        <v>-203.842816</v>
      </c>
      <c r="T257" s="429">
        <f>2822/500000</f>
        <v>5.6439999999999997E-3</v>
      </c>
      <c r="U257" s="428">
        <f>(578592/50000)-Q257</f>
        <v>-193.42815999999999</v>
      </c>
      <c r="V257" s="430">
        <f>2822/50000</f>
        <v>5.6439999999999997E-2</v>
      </c>
      <c r="W257" s="597" t="s">
        <v>811</v>
      </c>
      <c r="X257" s="598" t="s">
        <v>1115</v>
      </c>
      <c r="Y257" s="608">
        <f>189789/500000-W257</f>
        <v>-34.620421999999998</v>
      </c>
      <c r="Z257" s="609">
        <f>5422/500000</f>
        <v>1.0843999999999999E-2</v>
      </c>
      <c r="AA257" s="608">
        <f>(189789/50000)-W257</f>
        <v>-31.204219999999999</v>
      </c>
      <c r="AB257" s="601">
        <f>5422/50000</f>
        <v>0.10843999999999999</v>
      </c>
      <c r="AC257" s="781" t="s">
        <v>229</v>
      </c>
      <c r="AD257" s="782" t="s">
        <v>1116</v>
      </c>
      <c r="AE257" s="790">
        <f>263509/500000-AC257</f>
        <v>-52.472982000000002</v>
      </c>
      <c r="AF257" s="791">
        <f>4971/500000</f>
        <v>9.9419999999999994E-3</v>
      </c>
      <c r="AG257" s="790">
        <f>(263509/50000)-AC257</f>
        <v>-47.729820000000004</v>
      </c>
      <c r="AH257" s="958">
        <f>4971/50000</f>
        <v>9.9419999999999994E-2</v>
      </c>
      <c r="AI257" s="925"/>
    </row>
    <row r="258" spans="1:35" ht="60" x14ac:dyDescent="0.25">
      <c r="A258" s="54" t="s">
        <v>1107</v>
      </c>
      <c r="B258" s="55" t="s">
        <v>61</v>
      </c>
      <c r="C258" s="55" t="s">
        <v>41</v>
      </c>
      <c r="D258" s="55" t="s">
        <v>1028</v>
      </c>
      <c r="E258" s="55"/>
      <c r="F258" s="56" t="s">
        <v>72</v>
      </c>
      <c r="G258" s="57" t="s">
        <v>504</v>
      </c>
      <c r="H258" s="81"/>
      <c r="I258" s="55"/>
      <c r="J258" s="211"/>
      <c r="K258" s="261" t="s">
        <v>1117</v>
      </c>
      <c r="L258" s="262" t="s">
        <v>1118</v>
      </c>
      <c r="M258" s="263">
        <f>(1051917/500000)-K258</f>
        <v>-321.89616599999999</v>
      </c>
      <c r="N258" s="264">
        <f>3246/500000</f>
        <v>6.4920000000000004E-3</v>
      </c>
      <c r="O258" s="263">
        <f>(1051917/50000)-K258</f>
        <v>-302.96165999999999</v>
      </c>
      <c r="P258" s="265">
        <f>3246/50000</f>
        <v>6.4920000000000005E-2</v>
      </c>
      <c r="Q258" s="431" t="s">
        <v>1119</v>
      </c>
      <c r="R258" s="432" t="s">
        <v>1120</v>
      </c>
      <c r="S258" s="433">
        <f>(578592/500000)-Q258</f>
        <v>-226.842816</v>
      </c>
      <c r="T258" s="434">
        <f>2537/500000</f>
        <v>5.0740000000000004E-3</v>
      </c>
      <c r="U258" s="433">
        <f>(578592/50000)-Q258</f>
        <v>-216.42815999999999</v>
      </c>
      <c r="V258" s="435">
        <f>2537/50000</f>
        <v>5.074E-2</v>
      </c>
      <c r="W258" s="611" t="s">
        <v>1121</v>
      </c>
      <c r="X258" s="612" t="s">
        <v>1122</v>
      </c>
      <c r="Y258" s="613">
        <f>189789/500000-W258</f>
        <v>-39.620421999999998</v>
      </c>
      <c r="Z258" s="614">
        <f>4745/500000</f>
        <v>9.4900000000000002E-3</v>
      </c>
      <c r="AA258" s="613">
        <f>(189789/50000)-W258</f>
        <v>-36.204219999999999</v>
      </c>
      <c r="AB258" s="616">
        <f>4745/50000</f>
        <v>9.4899999999999998E-2</v>
      </c>
      <c r="AC258" s="792" t="s">
        <v>963</v>
      </c>
      <c r="AD258" s="793" t="s">
        <v>1123</v>
      </c>
      <c r="AE258" s="794">
        <f>263509/500000-AC258</f>
        <v>-55.472982000000002</v>
      </c>
      <c r="AF258" s="795">
        <f>4705/500000</f>
        <v>9.41E-3</v>
      </c>
      <c r="AG258" s="794">
        <f>(263509/50000)-AC258</f>
        <v>-50.729820000000004</v>
      </c>
      <c r="AH258" s="959">
        <f>4705/50000</f>
        <v>9.4100000000000003E-2</v>
      </c>
      <c r="AI258" s="921"/>
    </row>
    <row r="259" spans="1:35" ht="26.25" x14ac:dyDescent="0.25">
      <c r="A259" s="49" t="s">
        <v>1124</v>
      </c>
      <c r="B259" s="50" t="s">
        <v>40</v>
      </c>
      <c r="C259" s="50" t="s">
        <v>41</v>
      </c>
      <c r="D259" s="50" t="s">
        <v>1125</v>
      </c>
      <c r="E259" s="50" t="s">
        <v>1126</v>
      </c>
      <c r="F259" s="51"/>
      <c r="G259" s="52" t="s">
        <v>1127</v>
      </c>
      <c r="H259" s="53" t="s">
        <v>1090</v>
      </c>
      <c r="I259" s="50" t="s">
        <v>648</v>
      </c>
      <c r="J259" s="210"/>
      <c r="K259" s="250"/>
      <c r="L259" s="251"/>
      <c r="M259" s="252"/>
      <c r="N259" s="253"/>
      <c r="O259" s="252"/>
      <c r="P259" s="254"/>
      <c r="Q259" s="418"/>
      <c r="R259" s="419"/>
      <c r="S259" s="420"/>
      <c r="T259" s="421"/>
      <c r="U259" s="420"/>
      <c r="V259" s="422"/>
      <c r="W259" s="597"/>
      <c r="X259" s="598"/>
      <c r="Y259" s="599"/>
      <c r="Z259" s="600"/>
      <c r="AA259" s="599"/>
      <c r="AB259" s="601"/>
      <c r="AC259" s="781"/>
      <c r="AD259" s="782"/>
      <c r="AE259" s="783"/>
      <c r="AF259" s="784"/>
      <c r="AG259" s="783"/>
      <c r="AH259" s="957"/>
      <c r="AI259" s="920" t="s">
        <v>1128</v>
      </c>
    </row>
    <row r="260" spans="1:35" ht="39" x14ac:dyDescent="0.25">
      <c r="A260" s="49" t="s">
        <v>1129</v>
      </c>
      <c r="B260" s="50" t="s">
        <v>40</v>
      </c>
      <c r="C260" s="50" t="s">
        <v>41</v>
      </c>
      <c r="D260" s="50" t="s">
        <v>1125</v>
      </c>
      <c r="E260" s="50" t="s">
        <v>1051</v>
      </c>
      <c r="F260" s="51"/>
      <c r="G260" s="52" t="s">
        <v>1130</v>
      </c>
      <c r="H260" s="53" t="s">
        <v>1090</v>
      </c>
      <c r="I260" s="50" t="s">
        <v>648</v>
      </c>
      <c r="J260" s="210"/>
      <c r="K260" s="250"/>
      <c r="L260" s="251"/>
      <c r="M260" s="252"/>
      <c r="N260" s="253"/>
      <c r="O260" s="252"/>
      <c r="P260" s="254"/>
      <c r="Q260" s="418"/>
      <c r="R260" s="419"/>
      <c r="S260" s="420"/>
      <c r="T260" s="421"/>
      <c r="U260" s="420"/>
      <c r="V260" s="422"/>
      <c r="W260" s="597"/>
      <c r="X260" s="598"/>
      <c r="Y260" s="599"/>
      <c r="Z260" s="600"/>
      <c r="AA260" s="599"/>
      <c r="AB260" s="601"/>
      <c r="AC260" s="781"/>
      <c r="AD260" s="782"/>
      <c r="AE260" s="783"/>
      <c r="AF260" s="784"/>
      <c r="AG260" s="783"/>
      <c r="AH260" s="957"/>
      <c r="AI260" s="920" t="s">
        <v>1054</v>
      </c>
    </row>
    <row r="261" spans="1:35" ht="26.25" x14ac:dyDescent="0.25">
      <c r="A261" s="49" t="s">
        <v>1131</v>
      </c>
      <c r="B261" s="50" t="s">
        <v>40</v>
      </c>
      <c r="C261" s="50" t="s">
        <v>41</v>
      </c>
      <c r="D261" s="50" t="s">
        <v>1125</v>
      </c>
      <c r="E261" s="50" t="s">
        <v>1132</v>
      </c>
      <c r="F261" s="51"/>
      <c r="G261" s="52" t="s">
        <v>1133</v>
      </c>
      <c r="H261" s="53" t="s">
        <v>1134</v>
      </c>
      <c r="I261" s="50" t="s">
        <v>126</v>
      </c>
      <c r="J261" s="210"/>
      <c r="K261" s="250"/>
      <c r="L261" s="251"/>
      <c r="M261" s="252"/>
      <c r="N261" s="253"/>
      <c r="O261" s="252"/>
      <c r="P261" s="254"/>
      <c r="Q261" s="418"/>
      <c r="R261" s="419"/>
      <c r="S261" s="420"/>
      <c r="T261" s="421"/>
      <c r="U261" s="420"/>
      <c r="V261" s="422"/>
      <c r="W261" s="597"/>
      <c r="X261" s="598"/>
      <c r="Y261" s="599"/>
      <c r="Z261" s="600"/>
      <c r="AA261" s="599"/>
      <c r="AB261" s="601"/>
      <c r="AC261" s="781"/>
      <c r="AD261" s="782"/>
      <c r="AE261" s="783"/>
      <c r="AF261" s="784"/>
      <c r="AG261" s="783"/>
      <c r="AH261" s="957"/>
      <c r="AI261" s="920" t="s">
        <v>1135</v>
      </c>
    </row>
    <row r="262" spans="1:35" ht="26.25" x14ac:dyDescent="0.25">
      <c r="A262" s="49" t="s">
        <v>1136</v>
      </c>
      <c r="B262" s="50" t="s">
        <v>40</v>
      </c>
      <c r="C262" s="50" t="s">
        <v>41</v>
      </c>
      <c r="D262" s="50" t="s">
        <v>1125</v>
      </c>
      <c r="E262" s="50" t="s">
        <v>1137</v>
      </c>
      <c r="F262" s="51"/>
      <c r="G262" s="52" t="s">
        <v>1138</v>
      </c>
      <c r="H262" s="53" t="s">
        <v>1134</v>
      </c>
      <c r="I262" s="50" t="s">
        <v>126</v>
      </c>
      <c r="J262" s="210"/>
      <c r="K262" s="250"/>
      <c r="L262" s="251"/>
      <c r="M262" s="252"/>
      <c r="N262" s="253"/>
      <c r="O262" s="252"/>
      <c r="P262" s="254"/>
      <c r="Q262" s="418"/>
      <c r="R262" s="419"/>
      <c r="S262" s="420"/>
      <c r="T262" s="421"/>
      <c r="U262" s="420"/>
      <c r="V262" s="422"/>
      <c r="W262" s="597"/>
      <c r="X262" s="598"/>
      <c r="Y262" s="599"/>
      <c r="Z262" s="600"/>
      <c r="AA262" s="599"/>
      <c r="AB262" s="601"/>
      <c r="AC262" s="781"/>
      <c r="AD262" s="782"/>
      <c r="AE262" s="783"/>
      <c r="AF262" s="784"/>
      <c r="AG262" s="783"/>
      <c r="AH262" s="957"/>
      <c r="AI262" s="920" t="s">
        <v>1139</v>
      </c>
    </row>
    <row r="263" spans="1:35" ht="39" x14ac:dyDescent="0.25">
      <c r="A263" s="49" t="s">
        <v>1140</v>
      </c>
      <c r="B263" s="50" t="s">
        <v>40</v>
      </c>
      <c r="C263" s="50" t="s">
        <v>41</v>
      </c>
      <c r="D263" s="50" t="s">
        <v>1125</v>
      </c>
      <c r="E263" s="50" t="s">
        <v>92</v>
      </c>
      <c r="F263" s="51"/>
      <c r="G263" s="52" t="s">
        <v>1141</v>
      </c>
      <c r="H263" s="53" t="s">
        <v>206</v>
      </c>
      <c r="I263" s="50" t="s">
        <v>89</v>
      </c>
      <c r="J263" s="210"/>
      <c r="K263" s="250"/>
      <c r="L263" s="251"/>
      <c r="M263" s="252"/>
      <c r="N263" s="253"/>
      <c r="O263" s="252"/>
      <c r="P263" s="254"/>
      <c r="Q263" s="418"/>
      <c r="R263" s="419"/>
      <c r="S263" s="420"/>
      <c r="T263" s="421"/>
      <c r="U263" s="420"/>
      <c r="V263" s="422"/>
      <c r="W263" s="597"/>
      <c r="X263" s="598"/>
      <c r="Y263" s="599"/>
      <c r="Z263" s="600"/>
      <c r="AA263" s="599"/>
      <c r="AB263" s="601"/>
      <c r="AC263" s="781"/>
      <c r="AD263" s="782"/>
      <c r="AE263" s="783"/>
      <c r="AF263" s="784"/>
      <c r="AG263" s="783"/>
      <c r="AH263" s="957"/>
      <c r="AI263" s="920" t="s">
        <v>95</v>
      </c>
    </row>
    <row r="264" spans="1:35" ht="26.25" x14ac:dyDescent="0.25">
      <c r="A264" s="49" t="s">
        <v>1142</v>
      </c>
      <c r="B264" s="50" t="s">
        <v>40</v>
      </c>
      <c r="C264" s="50" t="s">
        <v>41</v>
      </c>
      <c r="D264" s="50" t="s">
        <v>1125</v>
      </c>
      <c r="E264" s="50" t="s">
        <v>1143</v>
      </c>
      <c r="F264" s="51"/>
      <c r="G264" s="52" t="s">
        <v>1144</v>
      </c>
      <c r="H264" s="53" t="s">
        <v>996</v>
      </c>
      <c r="I264" s="50" t="s">
        <v>648</v>
      </c>
      <c r="J264" s="210"/>
      <c r="K264" s="250"/>
      <c r="L264" s="251"/>
      <c r="M264" s="252"/>
      <c r="N264" s="253"/>
      <c r="O264" s="252"/>
      <c r="P264" s="254"/>
      <c r="Q264" s="418"/>
      <c r="R264" s="419"/>
      <c r="S264" s="420"/>
      <c r="T264" s="421"/>
      <c r="U264" s="420"/>
      <c r="V264" s="422"/>
      <c r="W264" s="597"/>
      <c r="X264" s="598"/>
      <c r="Y264" s="599"/>
      <c r="Z264" s="600"/>
      <c r="AA264" s="599"/>
      <c r="AB264" s="601"/>
      <c r="AC264" s="781"/>
      <c r="AD264" s="782"/>
      <c r="AE264" s="783"/>
      <c r="AF264" s="784"/>
      <c r="AG264" s="783"/>
      <c r="AH264" s="957"/>
      <c r="AI264" s="920" t="s">
        <v>1135</v>
      </c>
    </row>
    <row r="265" spans="1:35" ht="26.25" x14ac:dyDescent="0.25">
      <c r="A265" s="49" t="s">
        <v>1145</v>
      </c>
      <c r="B265" s="50" t="s">
        <v>40</v>
      </c>
      <c r="C265" s="50" t="s">
        <v>41</v>
      </c>
      <c r="D265" s="50" t="s">
        <v>1125</v>
      </c>
      <c r="E265" s="50" t="s">
        <v>1146</v>
      </c>
      <c r="F265" s="51"/>
      <c r="G265" s="52" t="s">
        <v>1147</v>
      </c>
      <c r="H265" s="53" t="s">
        <v>1000</v>
      </c>
      <c r="I265" s="50" t="s">
        <v>648</v>
      </c>
      <c r="J265" s="210"/>
      <c r="K265" s="250"/>
      <c r="L265" s="251"/>
      <c r="M265" s="252"/>
      <c r="N265" s="253"/>
      <c r="O265" s="252"/>
      <c r="P265" s="254"/>
      <c r="Q265" s="418"/>
      <c r="R265" s="419"/>
      <c r="S265" s="420"/>
      <c r="T265" s="421"/>
      <c r="U265" s="420"/>
      <c r="V265" s="422"/>
      <c r="W265" s="597"/>
      <c r="X265" s="598"/>
      <c r="Y265" s="599"/>
      <c r="Z265" s="600"/>
      <c r="AA265" s="599"/>
      <c r="AB265" s="601"/>
      <c r="AC265" s="781"/>
      <c r="AD265" s="782"/>
      <c r="AE265" s="783"/>
      <c r="AF265" s="784"/>
      <c r="AG265" s="783"/>
      <c r="AH265" s="957"/>
      <c r="AI265" s="920" t="s">
        <v>1135</v>
      </c>
    </row>
    <row r="266" spans="1:35" ht="26.25" x14ac:dyDescent="0.25">
      <c r="A266" s="49" t="s">
        <v>1148</v>
      </c>
      <c r="B266" s="50" t="s">
        <v>40</v>
      </c>
      <c r="C266" s="50" t="s">
        <v>41</v>
      </c>
      <c r="D266" s="50" t="s">
        <v>1125</v>
      </c>
      <c r="E266" s="50" t="s">
        <v>1149</v>
      </c>
      <c r="F266" s="51"/>
      <c r="G266" s="52" t="s">
        <v>1150</v>
      </c>
      <c r="H266" s="53" t="s">
        <v>1075</v>
      </c>
      <c r="I266" s="50" t="s">
        <v>648</v>
      </c>
      <c r="J266" s="210"/>
      <c r="K266" s="250"/>
      <c r="L266" s="251"/>
      <c r="M266" s="252"/>
      <c r="N266" s="253"/>
      <c r="O266" s="252"/>
      <c r="P266" s="254"/>
      <c r="Q266" s="418"/>
      <c r="R266" s="419"/>
      <c r="S266" s="420"/>
      <c r="T266" s="421"/>
      <c r="U266" s="420"/>
      <c r="V266" s="422"/>
      <c r="W266" s="597"/>
      <c r="X266" s="598"/>
      <c r="Y266" s="599"/>
      <c r="Z266" s="600"/>
      <c r="AA266" s="599"/>
      <c r="AB266" s="601"/>
      <c r="AC266" s="781"/>
      <c r="AD266" s="782"/>
      <c r="AE266" s="783"/>
      <c r="AF266" s="784"/>
      <c r="AG266" s="783"/>
      <c r="AH266" s="957"/>
      <c r="AI266" s="920" t="s">
        <v>1151</v>
      </c>
    </row>
    <row r="267" spans="1:35" ht="26.25" x14ac:dyDescent="0.25">
      <c r="A267" s="49" t="s">
        <v>1152</v>
      </c>
      <c r="B267" s="50" t="s">
        <v>40</v>
      </c>
      <c r="C267" s="50" t="s">
        <v>41</v>
      </c>
      <c r="D267" s="50" t="s">
        <v>1125</v>
      </c>
      <c r="E267" s="50" t="s">
        <v>1153</v>
      </c>
      <c r="F267" s="51"/>
      <c r="G267" s="52" t="s">
        <v>1154</v>
      </c>
      <c r="H267" s="53" t="s">
        <v>1155</v>
      </c>
      <c r="I267" s="50" t="s">
        <v>648</v>
      </c>
      <c r="J267" s="210"/>
      <c r="K267" s="250"/>
      <c r="L267" s="251"/>
      <c r="M267" s="252"/>
      <c r="N267" s="253"/>
      <c r="O267" s="252"/>
      <c r="P267" s="254"/>
      <c r="Q267" s="418"/>
      <c r="R267" s="419"/>
      <c r="S267" s="420"/>
      <c r="T267" s="421"/>
      <c r="U267" s="420"/>
      <c r="V267" s="422"/>
      <c r="W267" s="597"/>
      <c r="X267" s="598"/>
      <c r="Y267" s="599"/>
      <c r="Z267" s="600"/>
      <c r="AA267" s="599"/>
      <c r="AB267" s="601"/>
      <c r="AC267" s="781"/>
      <c r="AD267" s="782"/>
      <c r="AE267" s="783"/>
      <c r="AF267" s="784"/>
      <c r="AG267" s="783"/>
      <c r="AH267" s="957"/>
      <c r="AI267" s="920" t="s">
        <v>1156</v>
      </c>
    </row>
    <row r="268" spans="1:35" ht="26.25" x14ac:dyDescent="0.25">
      <c r="A268" s="49" t="s">
        <v>1157</v>
      </c>
      <c r="B268" s="50" t="s">
        <v>40</v>
      </c>
      <c r="C268" s="50" t="s">
        <v>41</v>
      </c>
      <c r="D268" s="50" t="s">
        <v>1125</v>
      </c>
      <c r="E268" s="50" t="s">
        <v>1158</v>
      </c>
      <c r="F268" s="51"/>
      <c r="G268" s="52" t="s">
        <v>1159</v>
      </c>
      <c r="H268" s="53" t="s">
        <v>1160</v>
      </c>
      <c r="I268" s="50" t="s">
        <v>648</v>
      </c>
      <c r="J268" s="210"/>
      <c r="K268" s="250"/>
      <c r="L268" s="251"/>
      <c r="M268" s="252"/>
      <c r="N268" s="253"/>
      <c r="O268" s="252"/>
      <c r="P268" s="254"/>
      <c r="Q268" s="418"/>
      <c r="R268" s="419"/>
      <c r="S268" s="420"/>
      <c r="T268" s="421"/>
      <c r="U268" s="420"/>
      <c r="V268" s="422"/>
      <c r="W268" s="597"/>
      <c r="X268" s="598"/>
      <c r="Y268" s="599"/>
      <c r="Z268" s="600"/>
      <c r="AA268" s="599"/>
      <c r="AB268" s="601"/>
      <c r="AC268" s="781"/>
      <c r="AD268" s="782"/>
      <c r="AE268" s="783"/>
      <c r="AF268" s="784"/>
      <c r="AG268" s="783"/>
      <c r="AH268" s="957"/>
      <c r="AI268" s="920" t="s">
        <v>1161</v>
      </c>
    </row>
    <row r="269" spans="1:35" ht="26.25" x14ac:dyDescent="0.25">
      <c r="A269" s="49" t="s">
        <v>1162</v>
      </c>
      <c r="B269" s="50" t="s">
        <v>40</v>
      </c>
      <c r="C269" s="50" t="s">
        <v>41</v>
      </c>
      <c r="D269" s="50" t="s">
        <v>1125</v>
      </c>
      <c r="E269" s="50" t="s">
        <v>1163</v>
      </c>
      <c r="F269" s="51"/>
      <c r="G269" s="52" t="s">
        <v>1164</v>
      </c>
      <c r="H269" s="53" t="s">
        <v>996</v>
      </c>
      <c r="I269" s="50" t="s">
        <v>648</v>
      </c>
      <c r="J269" s="210"/>
      <c r="K269" s="250"/>
      <c r="L269" s="251"/>
      <c r="M269" s="252"/>
      <c r="N269" s="253"/>
      <c r="O269" s="252"/>
      <c r="P269" s="254"/>
      <c r="Q269" s="418"/>
      <c r="R269" s="419"/>
      <c r="S269" s="420"/>
      <c r="T269" s="421"/>
      <c r="U269" s="420"/>
      <c r="V269" s="422"/>
      <c r="W269" s="597"/>
      <c r="X269" s="598"/>
      <c r="Y269" s="599"/>
      <c r="Z269" s="600"/>
      <c r="AA269" s="599"/>
      <c r="AB269" s="601"/>
      <c r="AC269" s="781"/>
      <c r="AD269" s="782"/>
      <c r="AE269" s="783"/>
      <c r="AF269" s="784"/>
      <c r="AG269" s="783"/>
      <c r="AH269" s="957"/>
      <c r="AI269" s="920" t="s">
        <v>1165</v>
      </c>
    </row>
    <row r="270" spans="1:35" ht="39" x14ac:dyDescent="0.25">
      <c r="A270" s="49" t="s">
        <v>1166</v>
      </c>
      <c r="B270" s="50" t="s">
        <v>40</v>
      </c>
      <c r="C270" s="50" t="s">
        <v>41</v>
      </c>
      <c r="D270" s="50" t="s">
        <v>1125</v>
      </c>
      <c r="E270" s="50" t="s">
        <v>1167</v>
      </c>
      <c r="F270" s="51"/>
      <c r="G270" s="52" t="s">
        <v>1168</v>
      </c>
      <c r="H270" s="53" t="s">
        <v>996</v>
      </c>
      <c r="I270" s="50" t="s">
        <v>648</v>
      </c>
      <c r="J270" s="210"/>
      <c r="K270" s="250"/>
      <c r="L270" s="251"/>
      <c r="M270" s="252"/>
      <c r="N270" s="253"/>
      <c r="O270" s="252"/>
      <c r="P270" s="254"/>
      <c r="Q270" s="418"/>
      <c r="R270" s="419"/>
      <c r="S270" s="420"/>
      <c r="T270" s="421"/>
      <c r="U270" s="420"/>
      <c r="V270" s="422"/>
      <c r="W270" s="597"/>
      <c r="X270" s="598"/>
      <c r="Y270" s="599"/>
      <c r="Z270" s="600"/>
      <c r="AA270" s="599"/>
      <c r="AB270" s="601"/>
      <c r="AC270" s="781"/>
      <c r="AD270" s="782"/>
      <c r="AE270" s="783"/>
      <c r="AF270" s="784"/>
      <c r="AG270" s="783"/>
      <c r="AH270" s="957"/>
      <c r="AI270" s="920" t="s">
        <v>1161</v>
      </c>
    </row>
    <row r="271" spans="1:35" ht="39" x14ac:dyDescent="0.25">
      <c r="A271" s="76" t="s">
        <v>1169</v>
      </c>
      <c r="B271" s="77" t="s">
        <v>61</v>
      </c>
      <c r="C271" s="77" t="s">
        <v>41</v>
      </c>
      <c r="D271" s="77" t="s">
        <v>1125</v>
      </c>
      <c r="E271" s="77"/>
      <c r="F271" s="78" t="s">
        <v>55</v>
      </c>
      <c r="G271" s="79" t="s">
        <v>504</v>
      </c>
      <c r="H271" s="80"/>
      <c r="I271" s="77"/>
      <c r="J271" s="210"/>
      <c r="K271" s="250" t="s">
        <v>131</v>
      </c>
      <c r="L271" s="251" t="s">
        <v>741</v>
      </c>
      <c r="M271" s="295">
        <f>(1051917/100000)-K271</f>
        <v>-10.480829999999999</v>
      </c>
      <c r="N271" s="296">
        <f>50091/100000</f>
        <v>0.50090999999999997</v>
      </c>
      <c r="O271" s="295">
        <f>(1051917/20000)-K271</f>
        <v>31.595849999999999</v>
      </c>
      <c r="P271" s="297">
        <f>50091/20000</f>
        <v>2.5045500000000001</v>
      </c>
      <c r="Q271" s="418" t="s">
        <v>122</v>
      </c>
      <c r="R271" s="419" t="s">
        <v>123</v>
      </c>
      <c r="S271" s="467">
        <f>(578592/100000)-Q271</f>
        <v>-11.214079999999999</v>
      </c>
      <c r="T271" s="468">
        <f>11164/100000</f>
        <v>0.11164</v>
      </c>
      <c r="U271" s="467">
        <f>(578592/20000)-Q271</f>
        <v>11.929600000000001</v>
      </c>
      <c r="V271" s="469">
        <f>11164/20000</f>
        <v>0.55820000000000003</v>
      </c>
      <c r="W271" s="597" t="s">
        <v>149</v>
      </c>
      <c r="X271" s="598" t="s">
        <v>739</v>
      </c>
      <c r="Y271" s="644">
        <f>(189789/100000)-W271</f>
        <v>0.89789000000000008</v>
      </c>
      <c r="Z271" s="645">
        <f>189789/100000</f>
        <v>1.8978900000000001</v>
      </c>
      <c r="AA271" s="644">
        <f>(189789/20000)-W271</f>
        <v>8.4894499999999997</v>
      </c>
      <c r="AB271" s="646">
        <f>189789/20000</f>
        <v>9.4894499999999997</v>
      </c>
      <c r="AC271" s="781" t="s">
        <v>70</v>
      </c>
      <c r="AD271" s="782" t="s">
        <v>71</v>
      </c>
      <c r="AE271" s="822">
        <f>(263509/100000)-AC271</f>
        <v>-0.36491000000000007</v>
      </c>
      <c r="AF271" s="823">
        <f>87836/100000</f>
        <v>0.87836000000000003</v>
      </c>
      <c r="AG271" s="822">
        <f>(263509/20000)-AC271</f>
        <v>10.17545</v>
      </c>
      <c r="AH271" s="970">
        <f>87836/20000</f>
        <v>4.3917999999999999</v>
      </c>
      <c r="AI271" s="925"/>
    </row>
    <row r="272" spans="1:35" ht="39" x14ac:dyDescent="0.25">
      <c r="A272" s="76" t="s">
        <v>1169</v>
      </c>
      <c r="B272" s="77" t="s">
        <v>61</v>
      </c>
      <c r="C272" s="77" t="s">
        <v>41</v>
      </c>
      <c r="D272" s="77" t="s">
        <v>1125</v>
      </c>
      <c r="E272" s="77"/>
      <c r="F272" s="78" t="s">
        <v>63</v>
      </c>
      <c r="G272" s="79" t="s">
        <v>504</v>
      </c>
      <c r="H272" s="80"/>
      <c r="I272" s="77"/>
      <c r="J272" s="210"/>
      <c r="K272" s="250" t="s">
        <v>1170</v>
      </c>
      <c r="L272" s="251" t="s">
        <v>1171</v>
      </c>
      <c r="M272" s="258">
        <f>(1051917/100000)-K272</f>
        <v>-189.48083</v>
      </c>
      <c r="N272" s="259">
        <f>5259/100000</f>
        <v>5.2589999999999998E-2</v>
      </c>
      <c r="O272" s="258">
        <f>(1051917/20000)-K272</f>
        <v>-147.40415000000002</v>
      </c>
      <c r="P272" s="260">
        <f>5259/20000</f>
        <v>0.26295000000000002</v>
      </c>
      <c r="Q272" s="418" t="s">
        <v>1172</v>
      </c>
      <c r="R272" s="419" t="s">
        <v>1173</v>
      </c>
      <c r="S272" s="428">
        <f>(578592/100000)-Q272</f>
        <v>-144.21408</v>
      </c>
      <c r="T272" s="429">
        <f>3857/100000</f>
        <v>3.857E-2</v>
      </c>
      <c r="U272" s="428">
        <f>(578592/20000)-Q272</f>
        <v>-121.07040000000001</v>
      </c>
      <c r="V272" s="430">
        <f>3857/20000</f>
        <v>0.19284999999999999</v>
      </c>
      <c r="W272" s="597" t="s">
        <v>294</v>
      </c>
      <c r="X272" s="598" t="s">
        <v>295</v>
      </c>
      <c r="Y272" s="608">
        <f>(189789/100000)-W272</f>
        <v>-22.10211</v>
      </c>
      <c r="Z272" s="609">
        <f>7907/100000</f>
        <v>7.9070000000000001E-2</v>
      </c>
      <c r="AA272" s="608">
        <f>(189789/20000)-W272</f>
        <v>-14.51055</v>
      </c>
      <c r="AB272" s="610">
        <f>7907/20000</f>
        <v>0.39534999999999998</v>
      </c>
      <c r="AC272" s="781" t="s">
        <v>231</v>
      </c>
      <c r="AD272" s="782" t="s">
        <v>1174</v>
      </c>
      <c r="AE272" s="790">
        <f>(263509/100000)-AC272</f>
        <v>-23.364910000000002</v>
      </c>
      <c r="AF272" s="791">
        <f>10134/100000</f>
        <v>0.10134</v>
      </c>
      <c r="AG272" s="790">
        <f>(263509/20000)-AC272</f>
        <v>-12.82455</v>
      </c>
      <c r="AH272" s="958">
        <f>10134/20000</f>
        <v>0.50670000000000004</v>
      </c>
      <c r="AI272" s="925"/>
    </row>
    <row r="273" spans="1:35" ht="60" x14ac:dyDescent="0.25">
      <c r="A273" s="54" t="s">
        <v>1169</v>
      </c>
      <c r="B273" s="55" t="s">
        <v>61</v>
      </c>
      <c r="C273" s="55" t="s">
        <v>41</v>
      </c>
      <c r="D273" s="55" t="s">
        <v>1125</v>
      </c>
      <c r="E273" s="55"/>
      <c r="F273" s="56" t="s">
        <v>72</v>
      </c>
      <c r="G273" s="57" t="s">
        <v>504</v>
      </c>
      <c r="H273" s="81"/>
      <c r="I273" s="55"/>
      <c r="J273" s="211"/>
      <c r="K273" s="261" t="s">
        <v>1175</v>
      </c>
      <c r="L273" s="262" t="s">
        <v>1176</v>
      </c>
      <c r="M273" s="263">
        <f>(1051917/100000)-K273</f>
        <v>-210.48083</v>
      </c>
      <c r="N273" s="264">
        <f>4759/100000</f>
        <v>4.759E-2</v>
      </c>
      <c r="O273" s="263">
        <f>(1051917/20000)-K273</f>
        <v>-168.40415000000002</v>
      </c>
      <c r="P273" s="265">
        <f>4759/20000</f>
        <v>0.23794999999999999</v>
      </c>
      <c r="Q273" s="431" t="s">
        <v>1177</v>
      </c>
      <c r="R273" s="432" t="s">
        <v>1178</v>
      </c>
      <c r="S273" s="433">
        <f>(578592/100000)-Q273</f>
        <v>-161.21408</v>
      </c>
      <c r="T273" s="434">
        <f>3464/100000</f>
        <v>3.4639999999999997E-2</v>
      </c>
      <c r="U273" s="433">
        <f>(578592/20000)-Q273</f>
        <v>-138.07040000000001</v>
      </c>
      <c r="V273" s="435">
        <f>3464/20000</f>
        <v>0.17319999999999999</v>
      </c>
      <c r="W273" s="611" t="s">
        <v>241</v>
      </c>
      <c r="X273" s="612" t="s">
        <v>242</v>
      </c>
      <c r="Y273" s="613">
        <f>(189789/100000)-W273</f>
        <v>-23.10211</v>
      </c>
      <c r="Z273" s="614">
        <f>7591/100000</f>
        <v>7.5910000000000005E-2</v>
      </c>
      <c r="AA273" s="613">
        <f>(189789/20000)-W273</f>
        <v>-15.51055</v>
      </c>
      <c r="AB273" s="615">
        <f>7591/20000</f>
        <v>0.37955</v>
      </c>
      <c r="AC273" s="792" t="s">
        <v>514</v>
      </c>
      <c r="AD273" s="793" t="s">
        <v>1179</v>
      </c>
      <c r="AE273" s="794">
        <f>(263509/100000)-AC273</f>
        <v>-26.364910000000002</v>
      </c>
      <c r="AF273" s="795">
        <f>9086/100000</f>
        <v>9.0859999999999996E-2</v>
      </c>
      <c r="AG273" s="794">
        <f>(263509/20000)-AC273</f>
        <v>-15.82455</v>
      </c>
      <c r="AH273" s="959">
        <f>9086/20000</f>
        <v>0.45429999999999998</v>
      </c>
      <c r="AI273" s="921"/>
    </row>
    <row r="274" spans="1:35" ht="39" x14ac:dyDescent="0.25">
      <c r="A274" s="18" t="s">
        <v>1180</v>
      </c>
      <c r="B274" s="19" t="s">
        <v>40</v>
      </c>
      <c r="C274" s="19" t="s">
        <v>41</v>
      </c>
      <c r="D274" s="19" t="s">
        <v>1181</v>
      </c>
      <c r="E274" s="19" t="s">
        <v>92</v>
      </c>
      <c r="F274" s="20"/>
      <c r="G274" s="21" t="s">
        <v>1182</v>
      </c>
      <c r="H274" s="22" t="s">
        <v>934</v>
      </c>
      <c r="I274" s="19" t="s">
        <v>648</v>
      </c>
      <c r="J274" s="210"/>
      <c r="K274" s="250"/>
      <c r="L274" s="251"/>
      <c r="M274" s="252"/>
      <c r="N274" s="253"/>
      <c r="O274" s="252"/>
      <c r="P274" s="254"/>
      <c r="Q274" s="418"/>
      <c r="R274" s="419"/>
      <c r="S274" s="420"/>
      <c r="T274" s="421"/>
      <c r="U274" s="420"/>
      <c r="V274" s="422"/>
      <c r="W274" s="597"/>
      <c r="X274" s="598"/>
      <c r="Y274" s="599"/>
      <c r="Z274" s="600"/>
      <c r="AA274" s="599"/>
      <c r="AB274" s="601"/>
      <c r="AC274" s="781"/>
      <c r="AD274" s="782"/>
      <c r="AE274" s="783"/>
      <c r="AF274" s="784"/>
      <c r="AG274" s="783"/>
      <c r="AH274" s="957"/>
      <c r="AI274" s="913" t="s">
        <v>95</v>
      </c>
    </row>
    <row r="275" spans="1:35" ht="26.25" x14ac:dyDescent="0.25">
      <c r="A275" s="18" t="s">
        <v>1183</v>
      </c>
      <c r="B275" s="19" t="s">
        <v>40</v>
      </c>
      <c r="C275" s="19" t="s">
        <v>41</v>
      </c>
      <c r="D275" s="19" t="s">
        <v>1181</v>
      </c>
      <c r="E275" s="19" t="s">
        <v>1184</v>
      </c>
      <c r="F275" s="20"/>
      <c r="G275" s="21" t="s">
        <v>1185</v>
      </c>
      <c r="H275" s="22" t="s">
        <v>1186</v>
      </c>
      <c r="I275" s="19" t="s">
        <v>648</v>
      </c>
      <c r="J275" s="210"/>
      <c r="K275" s="250"/>
      <c r="L275" s="251"/>
      <c r="M275" s="252"/>
      <c r="N275" s="253"/>
      <c r="O275" s="252"/>
      <c r="P275" s="254"/>
      <c r="Q275" s="418"/>
      <c r="R275" s="419"/>
      <c r="S275" s="420"/>
      <c r="T275" s="421"/>
      <c r="U275" s="420"/>
      <c r="V275" s="422"/>
      <c r="W275" s="597"/>
      <c r="X275" s="598"/>
      <c r="Y275" s="599"/>
      <c r="Z275" s="600"/>
      <c r="AA275" s="599"/>
      <c r="AB275" s="601"/>
      <c r="AC275" s="781"/>
      <c r="AD275" s="782"/>
      <c r="AE275" s="783"/>
      <c r="AF275" s="784"/>
      <c r="AG275" s="783"/>
      <c r="AH275" s="957"/>
      <c r="AI275" s="913" t="s">
        <v>1187</v>
      </c>
    </row>
    <row r="276" spans="1:35" ht="39" x14ac:dyDescent="0.25">
      <c r="A276" s="18" t="s">
        <v>1188</v>
      </c>
      <c r="B276" s="19" t="s">
        <v>40</v>
      </c>
      <c r="C276" s="19" t="s">
        <v>41</v>
      </c>
      <c r="D276" s="19" t="s">
        <v>1181</v>
      </c>
      <c r="E276" s="19" t="s">
        <v>106</v>
      </c>
      <c r="F276" s="20"/>
      <c r="G276" s="21" t="s">
        <v>1189</v>
      </c>
      <c r="H276" s="22" t="s">
        <v>1190</v>
      </c>
      <c r="I276" s="19" t="s">
        <v>83</v>
      </c>
      <c r="J276" s="210"/>
      <c r="K276" s="250"/>
      <c r="L276" s="251"/>
      <c r="M276" s="252"/>
      <c r="N276" s="253"/>
      <c r="O276" s="252"/>
      <c r="P276" s="254"/>
      <c r="Q276" s="418"/>
      <c r="R276" s="419"/>
      <c r="S276" s="420"/>
      <c r="T276" s="421"/>
      <c r="U276" s="420"/>
      <c r="V276" s="422"/>
      <c r="W276" s="597"/>
      <c r="X276" s="598"/>
      <c r="Y276" s="599"/>
      <c r="Z276" s="600"/>
      <c r="AA276" s="599"/>
      <c r="AB276" s="601"/>
      <c r="AC276" s="781"/>
      <c r="AD276" s="782"/>
      <c r="AE276" s="783"/>
      <c r="AF276" s="784"/>
      <c r="AG276" s="783"/>
      <c r="AH276" s="957"/>
      <c r="AI276" s="913" t="s">
        <v>110</v>
      </c>
    </row>
    <row r="277" spans="1:35" ht="39" x14ac:dyDescent="0.25">
      <c r="A277" s="18" t="s">
        <v>1191</v>
      </c>
      <c r="B277" s="19" t="s">
        <v>40</v>
      </c>
      <c r="C277" s="19" t="s">
        <v>41</v>
      </c>
      <c r="D277" s="19" t="s">
        <v>1181</v>
      </c>
      <c r="E277" s="19" t="s">
        <v>1192</v>
      </c>
      <c r="F277" s="20"/>
      <c r="G277" s="21" t="s">
        <v>1193</v>
      </c>
      <c r="H277" s="22" t="s">
        <v>1194</v>
      </c>
      <c r="I277" s="19" t="s">
        <v>89</v>
      </c>
      <c r="J277" s="210"/>
      <c r="K277" s="250"/>
      <c r="L277" s="251"/>
      <c r="M277" s="252"/>
      <c r="N277" s="253"/>
      <c r="O277" s="252"/>
      <c r="P277" s="254"/>
      <c r="Q277" s="418"/>
      <c r="R277" s="419"/>
      <c r="S277" s="420"/>
      <c r="T277" s="421"/>
      <c r="U277" s="420"/>
      <c r="V277" s="422"/>
      <c r="W277" s="597"/>
      <c r="X277" s="598"/>
      <c r="Y277" s="599"/>
      <c r="Z277" s="600"/>
      <c r="AA277" s="599"/>
      <c r="AB277" s="601"/>
      <c r="AC277" s="781"/>
      <c r="AD277" s="782"/>
      <c r="AE277" s="783"/>
      <c r="AF277" s="784"/>
      <c r="AG277" s="783"/>
      <c r="AH277" s="957"/>
      <c r="AI277" s="913" t="s">
        <v>1195</v>
      </c>
    </row>
    <row r="278" spans="1:35" ht="26.25" x14ac:dyDescent="0.25">
      <c r="A278" s="18" t="s">
        <v>1196</v>
      </c>
      <c r="B278" s="19" t="s">
        <v>40</v>
      </c>
      <c r="C278" s="19" t="s">
        <v>41</v>
      </c>
      <c r="D278" s="19" t="s">
        <v>1181</v>
      </c>
      <c r="E278" s="19" t="s">
        <v>973</v>
      </c>
      <c r="F278" s="20"/>
      <c r="G278" s="21" t="s">
        <v>1197</v>
      </c>
      <c r="H278" s="22" t="s">
        <v>1198</v>
      </c>
      <c r="I278" s="19" t="s">
        <v>89</v>
      </c>
      <c r="J278" s="210"/>
      <c r="K278" s="250"/>
      <c r="L278" s="251"/>
      <c r="M278" s="252"/>
      <c r="N278" s="253"/>
      <c r="O278" s="252"/>
      <c r="P278" s="254"/>
      <c r="Q278" s="418"/>
      <c r="R278" s="419"/>
      <c r="S278" s="420"/>
      <c r="T278" s="421"/>
      <c r="U278" s="420"/>
      <c r="V278" s="422"/>
      <c r="W278" s="597"/>
      <c r="X278" s="598"/>
      <c r="Y278" s="599"/>
      <c r="Z278" s="600"/>
      <c r="AA278" s="599"/>
      <c r="AB278" s="601"/>
      <c r="AC278" s="781"/>
      <c r="AD278" s="782"/>
      <c r="AE278" s="783"/>
      <c r="AF278" s="784"/>
      <c r="AG278" s="783"/>
      <c r="AH278" s="957"/>
      <c r="AI278" s="913" t="s">
        <v>1187</v>
      </c>
    </row>
    <row r="279" spans="1:35" ht="26.25" x14ac:dyDescent="0.25">
      <c r="A279" s="18" t="s">
        <v>1199</v>
      </c>
      <c r="B279" s="19" t="s">
        <v>40</v>
      </c>
      <c r="C279" s="19" t="s">
        <v>41</v>
      </c>
      <c r="D279" s="19" t="s">
        <v>1181</v>
      </c>
      <c r="E279" s="19" t="s">
        <v>1200</v>
      </c>
      <c r="F279" s="20"/>
      <c r="G279" s="21" t="s">
        <v>1201</v>
      </c>
      <c r="H279" s="22" t="s">
        <v>1030</v>
      </c>
      <c r="I279" s="19" t="s">
        <v>648</v>
      </c>
      <c r="J279" s="210"/>
      <c r="K279" s="250"/>
      <c r="L279" s="251"/>
      <c r="M279" s="252"/>
      <c r="N279" s="253"/>
      <c r="O279" s="252"/>
      <c r="P279" s="254"/>
      <c r="Q279" s="418"/>
      <c r="R279" s="419"/>
      <c r="S279" s="420"/>
      <c r="T279" s="421"/>
      <c r="U279" s="420"/>
      <c r="V279" s="422"/>
      <c r="W279" s="597"/>
      <c r="X279" s="598"/>
      <c r="Y279" s="599"/>
      <c r="Z279" s="600"/>
      <c r="AA279" s="599"/>
      <c r="AB279" s="601"/>
      <c r="AC279" s="781"/>
      <c r="AD279" s="782"/>
      <c r="AE279" s="783"/>
      <c r="AF279" s="784"/>
      <c r="AG279" s="783"/>
      <c r="AH279" s="957"/>
      <c r="AI279" s="913" t="s">
        <v>1202</v>
      </c>
    </row>
    <row r="280" spans="1:35" ht="26.25" x14ac:dyDescent="0.25">
      <c r="A280" s="18" t="s">
        <v>1203</v>
      </c>
      <c r="B280" s="19" t="s">
        <v>40</v>
      </c>
      <c r="C280" s="19" t="s">
        <v>41</v>
      </c>
      <c r="D280" s="19" t="s">
        <v>1181</v>
      </c>
      <c r="E280" s="19" t="s">
        <v>1204</v>
      </c>
      <c r="F280" s="20"/>
      <c r="G280" s="21" t="s">
        <v>1205</v>
      </c>
      <c r="H280" s="22" t="s">
        <v>1206</v>
      </c>
      <c r="I280" s="19" t="s">
        <v>73</v>
      </c>
      <c r="J280" s="210"/>
      <c r="K280" s="250"/>
      <c r="L280" s="251"/>
      <c r="M280" s="252"/>
      <c r="N280" s="253"/>
      <c r="O280" s="252"/>
      <c r="P280" s="254"/>
      <c r="Q280" s="418"/>
      <c r="R280" s="419"/>
      <c r="S280" s="420"/>
      <c r="T280" s="421"/>
      <c r="U280" s="420"/>
      <c r="V280" s="422"/>
      <c r="W280" s="597"/>
      <c r="X280" s="598"/>
      <c r="Y280" s="599"/>
      <c r="Z280" s="600"/>
      <c r="AA280" s="599"/>
      <c r="AB280" s="601"/>
      <c r="AC280" s="781"/>
      <c r="AD280" s="782"/>
      <c r="AE280" s="783"/>
      <c r="AF280" s="784"/>
      <c r="AG280" s="783"/>
      <c r="AH280" s="957"/>
      <c r="AI280" s="913" t="s">
        <v>1207</v>
      </c>
    </row>
    <row r="281" spans="1:35" ht="26.25" x14ac:dyDescent="0.25">
      <c r="A281" s="18" t="s">
        <v>1208</v>
      </c>
      <c r="B281" s="19" t="s">
        <v>40</v>
      </c>
      <c r="C281" s="19" t="s">
        <v>41</v>
      </c>
      <c r="D281" s="19" t="s">
        <v>1181</v>
      </c>
      <c r="E281" s="19" t="s">
        <v>1209</v>
      </c>
      <c r="F281" s="20"/>
      <c r="G281" s="21" t="s">
        <v>1210</v>
      </c>
      <c r="H281" s="18" t="s">
        <v>1211</v>
      </c>
      <c r="I281" s="19" t="s">
        <v>648</v>
      </c>
      <c r="J281" s="210"/>
      <c r="K281" s="250"/>
      <c r="L281" s="251"/>
      <c r="M281" s="252"/>
      <c r="N281" s="253"/>
      <c r="O281" s="252"/>
      <c r="P281" s="254"/>
      <c r="Q281" s="418"/>
      <c r="R281" s="419"/>
      <c r="S281" s="420"/>
      <c r="T281" s="421"/>
      <c r="U281" s="420"/>
      <c r="V281" s="422"/>
      <c r="W281" s="597"/>
      <c r="X281" s="598"/>
      <c r="Y281" s="599"/>
      <c r="Z281" s="600"/>
      <c r="AA281" s="599"/>
      <c r="AB281" s="601"/>
      <c r="AC281" s="781"/>
      <c r="AD281" s="782"/>
      <c r="AE281" s="783"/>
      <c r="AF281" s="784"/>
      <c r="AG281" s="783"/>
      <c r="AH281" s="957"/>
      <c r="AI281" s="913" t="s">
        <v>1212</v>
      </c>
    </row>
    <row r="282" spans="1:35" ht="26.25" x14ac:dyDescent="0.25">
      <c r="A282" s="18" t="s">
        <v>1213</v>
      </c>
      <c r="B282" s="19" t="s">
        <v>40</v>
      </c>
      <c r="C282" s="19" t="s">
        <v>41</v>
      </c>
      <c r="D282" s="19" t="s">
        <v>1181</v>
      </c>
      <c r="E282" s="19" t="s">
        <v>1214</v>
      </c>
      <c r="F282" s="20"/>
      <c r="G282" s="21" t="s">
        <v>1215</v>
      </c>
      <c r="H282" s="22" t="s">
        <v>1049</v>
      </c>
      <c r="I282" s="19" t="s">
        <v>608</v>
      </c>
      <c r="J282" s="210"/>
      <c r="K282" s="250"/>
      <c r="L282" s="251"/>
      <c r="M282" s="252"/>
      <c r="N282" s="253"/>
      <c r="O282" s="252"/>
      <c r="P282" s="254"/>
      <c r="Q282" s="418"/>
      <c r="R282" s="419"/>
      <c r="S282" s="420"/>
      <c r="T282" s="421"/>
      <c r="U282" s="420"/>
      <c r="V282" s="422"/>
      <c r="W282" s="597"/>
      <c r="X282" s="598"/>
      <c r="Y282" s="599"/>
      <c r="Z282" s="600"/>
      <c r="AA282" s="599"/>
      <c r="AB282" s="601"/>
      <c r="AC282" s="781"/>
      <c r="AD282" s="782"/>
      <c r="AE282" s="783"/>
      <c r="AF282" s="784"/>
      <c r="AG282" s="783"/>
      <c r="AH282" s="957"/>
      <c r="AI282" s="913" t="s">
        <v>1202</v>
      </c>
    </row>
    <row r="283" spans="1:35" ht="26.25" x14ac:dyDescent="0.25">
      <c r="A283" s="23" t="s">
        <v>1216</v>
      </c>
      <c r="B283" s="24" t="s">
        <v>40</v>
      </c>
      <c r="C283" s="24" t="s">
        <v>41</v>
      </c>
      <c r="D283" s="24" t="s">
        <v>1181</v>
      </c>
      <c r="E283" s="24"/>
      <c r="F283" s="25" t="s">
        <v>55</v>
      </c>
      <c r="G283" s="26" t="s">
        <v>1217</v>
      </c>
      <c r="H283" s="72"/>
      <c r="I283" s="24"/>
      <c r="J283" s="210"/>
      <c r="K283" s="250" t="s">
        <v>294</v>
      </c>
      <c r="L283" s="251" t="s">
        <v>1218</v>
      </c>
      <c r="M283" s="279">
        <f>(1051917/15000)-K283</f>
        <v>46.127799999999993</v>
      </c>
      <c r="N283" s="280">
        <f>43829/15000</f>
        <v>2.9219333333333335</v>
      </c>
      <c r="O283" s="279">
        <f>(1051917/10000)-K283</f>
        <v>81.191699999999997</v>
      </c>
      <c r="P283" s="281">
        <f>43829/10000</f>
        <v>4.3829000000000002</v>
      </c>
      <c r="Q283" s="418" t="s">
        <v>633</v>
      </c>
      <c r="R283" s="419" t="s">
        <v>1219</v>
      </c>
      <c r="S283" s="439">
        <f>(578592/15000)-Q283</f>
        <v>23.572800000000001</v>
      </c>
      <c r="T283" s="440">
        <f>38572/15000</f>
        <v>2.5714666666666668</v>
      </c>
      <c r="U283" s="439">
        <f>(578592/10000)-Q283</f>
        <v>42.859200000000001</v>
      </c>
      <c r="V283" s="441">
        <f>38572/10000</f>
        <v>3.8572000000000002</v>
      </c>
      <c r="W283" s="597" t="s">
        <v>149</v>
      </c>
      <c r="X283" s="598" t="s">
        <v>739</v>
      </c>
      <c r="Y283" s="644">
        <f>(189789/15000)-W283</f>
        <v>11.6526</v>
      </c>
      <c r="Z283" s="645">
        <f>189789/15000</f>
        <v>12.6526</v>
      </c>
      <c r="AA283" s="644">
        <f>(189789/10000)-W283</f>
        <v>17.978899999999999</v>
      </c>
      <c r="AB283" s="646">
        <f>189789/10000</f>
        <v>18.978899999999999</v>
      </c>
      <c r="AC283" s="781" t="s">
        <v>152</v>
      </c>
      <c r="AD283" s="782" t="s">
        <v>190</v>
      </c>
      <c r="AE283" s="804">
        <f>(263509/15000)-AC283</f>
        <v>9.567266666666665</v>
      </c>
      <c r="AF283" s="805">
        <f>32938/15000</f>
        <v>2.1958666666666669</v>
      </c>
      <c r="AG283" s="804">
        <f>(263509/10000)-AC283</f>
        <v>18.350899999999999</v>
      </c>
      <c r="AH283" s="964">
        <f>32938/10000</f>
        <v>3.2938000000000001</v>
      </c>
      <c r="AI283" s="914" t="s">
        <v>1202</v>
      </c>
    </row>
    <row r="284" spans="1:35" ht="26.25" x14ac:dyDescent="0.25">
      <c r="A284" s="23" t="s">
        <v>1216</v>
      </c>
      <c r="B284" s="24" t="s">
        <v>40</v>
      </c>
      <c r="C284" s="24" t="s">
        <v>41</v>
      </c>
      <c r="D284" s="24" t="s">
        <v>1181</v>
      </c>
      <c r="E284" s="24"/>
      <c r="F284" s="25" t="s">
        <v>63</v>
      </c>
      <c r="G284" s="26" t="s">
        <v>1217</v>
      </c>
      <c r="H284" s="72"/>
      <c r="I284" s="24"/>
      <c r="J284" s="210"/>
      <c r="K284" s="250" t="s">
        <v>684</v>
      </c>
      <c r="L284" s="251" t="s">
        <v>685</v>
      </c>
      <c r="M284" s="258">
        <f>(1051917/15000)-K284</f>
        <v>-61.872200000000007</v>
      </c>
      <c r="N284" s="259">
        <f>7969/15000</f>
        <v>0.53126666666666666</v>
      </c>
      <c r="O284" s="258">
        <f>(1051917/10000)-K284</f>
        <v>-26.808300000000003</v>
      </c>
      <c r="P284" s="260">
        <f>7969/10000</f>
        <v>0.79690000000000005</v>
      </c>
      <c r="Q284" s="418" t="s">
        <v>1220</v>
      </c>
      <c r="R284" s="419" t="s">
        <v>1221</v>
      </c>
      <c r="S284" s="428">
        <f>(578592/15000)-Q284</f>
        <v>-49.427199999999999</v>
      </c>
      <c r="T284" s="429">
        <f>6574/15000</f>
        <v>0.43826666666666669</v>
      </c>
      <c r="U284" s="428">
        <f>(578592/10000)-Q284</f>
        <v>-30.140799999999999</v>
      </c>
      <c r="V284" s="430">
        <f>6574/10000</f>
        <v>0.65739999999999998</v>
      </c>
      <c r="W284" s="597" t="s">
        <v>1024</v>
      </c>
      <c r="X284" s="598" t="s">
        <v>1222</v>
      </c>
      <c r="Y284" s="624">
        <f>(189789/15000)-W284</f>
        <v>-1.3474000000000004</v>
      </c>
      <c r="Z284" s="625">
        <f>13556/15000</f>
        <v>0.90373333333333339</v>
      </c>
      <c r="AA284" s="624">
        <f>(189789/10000)-W284</f>
        <v>4.9788999999999994</v>
      </c>
      <c r="AB284" s="626">
        <f>13556/10000</f>
        <v>1.3555999999999999</v>
      </c>
      <c r="AC284" s="781" t="s">
        <v>728</v>
      </c>
      <c r="AD284" s="782" t="s">
        <v>1223</v>
      </c>
      <c r="AE284" s="790">
        <f>(263509/15000)-AC284</f>
        <v>-12.432733333333335</v>
      </c>
      <c r="AF284" s="791">
        <f>8783/15000</f>
        <v>0.58553333333333335</v>
      </c>
      <c r="AG284" s="790">
        <f>(263509/10000)-AC284</f>
        <v>-3.6491000000000007</v>
      </c>
      <c r="AH284" s="958">
        <f>8783/10000</f>
        <v>0.87829999999999997</v>
      </c>
      <c r="AI284" s="914"/>
    </row>
    <row r="285" spans="1:35" ht="30" x14ac:dyDescent="0.25">
      <c r="A285" s="27" t="s">
        <v>1216</v>
      </c>
      <c r="B285" s="28" t="s">
        <v>40</v>
      </c>
      <c r="C285" s="28" t="s">
        <v>41</v>
      </c>
      <c r="D285" s="28" t="s">
        <v>1181</v>
      </c>
      <c r="E285" s="28"/>
      <c r="F285" s="29" t="s">
        <v>72</v>
      </c>
      <c r="G285" s="30" t="s">
        <v>1217</v>
      </c>
      <c r="H285" s="74" t="s">
        <v>1224</v>
      </c>
      <c r="I285" s="28" t="s">
        <v>276</v>
      </c>
      <c r="J285" s="211"/>
      <c r="K285" s="261" t="s">
        <v>1225</v>
      </c>
      <c r="L285" s="262" t="s">
        <v>1226</v>
      </c>
      <c r="M285" s="263">
        <f>(1051917/15000)-K285</f>
        <v>-85.872200000000007</v>
      </c>
      <c r="N285" s="264">
        <f>6743/15000</f>
        <v>0.44953333333333334</v>
      </c>
      <c r="O285" s="263">
        <f>(1051917/10000)-K285</f>
        <v>-50.808300000000003</v>
      </c>
      <c r="P285" s="265">
        <f>6743/10000</f>
        <v>0.67430000000000001</v>
      </c>
      <c r="Q285" s="431" t="s">
        <v>1227</v>
      </c>
      <c r="R285" s="432" t="s">
        <v>1228</v>
      </c>
      <c r="S285" s="433">
        <f>(578592/15000)-Q285</f>
        <v>-64.427199999999999</v>
      </c>
      <c r="T285" s="434">
        <f>5617/15000</f>
        <v>0.37446666666666667</v>
      </c>
      <c r="U285" s="433">
        <f>(578592/10000)-Q285</f>
        <v>-45.140799999999999</v>
      </c>
      <c r="V285" s="435">
        <f>5817/10000</f>
        <v>0.58169999999999999</v>
      </c>
      <c r="W285" s="611" t="s">
        <v>633</v>
      </c>
      <c r="X285" s="612" t="s">
        <v>688</v>
      </c>
      <c r="Y285" s="621">
        <f>(189789/15000)-W285</f>
        <v>-2.3474000000000004</v>
      </c>
      <c r="Z285" s="622">
        <f>12652/15000</f>
        <v>0.8434666666666667</v>
      </c>
      <c r="AA285" s="621">
        <f>(189789/10000)-W285</f>
        <v>3.9788999999999994</v>
      </c>
      <c r="AB285" s="623">
        <f>12652/10000</f>
        <v>1.2652000000000001</v>
      </c>
      <c r="AC285" s="792" t="s">
        <v>1229</v>
      </c>
      <c r="AD285" s="793" t="s">
        <v>1230</v>
      </c>
      <c r="AE285" s="794">
        <f>(263509/15000)-AC285</f>
        <v>-20.432733333333335</v>
      </c>
      <c r="AF285" s="795">
        <f>6934/15000</f>
        <v>0.46226666666666666</v>
      </c>
      <c r="AG285" s="794">
        <f>(263509/10000)-AC285</f>
        <v>-11.649100000000001</v>
      </c>
      <c r="AH285" s="959">
        <f>6934/10000</f>
        <v>0.69340000000000002</v>
      </c>
      <c r="AI285" s="915"/>
    </row>
    <row r="286" spans="1:35" ht="60" x14ac:dyDescent="0.25">
      <c r="A286" s="45" t="s">
        <v>1231</v>
      </c>
      <c r="B286" s="46" t="s">
        <v>40</v>
      </c>
      <c r="C286" s="46" t="s">
        <v>41</v>
      </c>
      <c r="D286" s="46" t="s">
        <v>1232</v>
      </c>
      <c r="E286" s="46"/>
      <c r="F286" s="47" t="s">
        <v>63</v>
      </c>
      <c r="G286" s="48" t="s">
        <v>1233</v>
      </c>
      <c r="H286" s="85" t="s">
        <v>1234</v>
      </c>
      <c r="I286" s="46" t="s">
        <v>1235</v>
      </c>
      <c r="J286" s="211"/>
      <c r="K286" s="261" t="s">
        <v>980</v>
      </c>
      <c r="L286" s="262" t="s">
        <v>981</v>
      </c>
      <c r="M286" s="263">
        <f>(1051917/125000)-K286</f>
        <v>-18.584664</v>
      </c>
      <c r="N286" s="264">
        <f>38959/125000</f>
        <v>0.311672</v>
      </c>
      <c r="O286" s="263">
        <f>(1051917/100000)-K286</f>
        <v>-16.480829999999997</v>
      </c>
      <c r="P286" s="265">
        <f>38959/100000</f>
        <v>0.38958999999999999</v>
      </c>
      <c r="Q286" s="431" t="s">
        <v>674</v>
      </c>
      <c r="R286" s="432" t="s">
        <v>675</v>
      </c>
      <c r="S286" s="433">
        <f>(578592/125000)-Q286</f>
        <v>-7.371264</v>
      </c>
      <c r="T286" s="434">
        <f>48216/125000</f>
        <v>0.38572800000000002</v>
      </c>
      <c r="U286" s="433">
        <f>(578592/100000)-Q286</f>
        <v>-6.21408</v>
      </c>
      <c r="V286" s="435">
        <f>48216/100000</f>
        <v>0.48215999999999998</v>
      </c>
      <c r="W286" s="611" t="s">
        <v>116</v>
      </c>
      <c r="X286" s="612" t="s">
        <v>1110</v>
      </c>
      <c r="Y286" s="613">
        <f>(189789/125000)-W286</f>
        <v>-3.4816880000000001</v>
      </c>
      <c r="Z286" s="614">
        <f>37957/125000</f>
        <v>0.30365599999999998</v>
      </c>
      <c r="AA286" s="613">
        <f>(189789/100000)-W286</f>
        <v>-3.1021099999999997</v>
      </c>
      <c r="AB286" s="615">
        <f>37957/100000</f>
        <v>0.37957000000000002</v>
      </c>
      <c r="AC286" s="792" t="s">
        <v>1236</v>
      </c>
      <c r="AD286" s="793" t="s">
        <v>1237</v>
      </c>
      <c r="AE286" s="794">
        <f>(263509/125000)-AC286</f>
        <v>-7.8919280000000001</v>
      </c>
      <c r="AF286" s="795">
        <f>26351/125000</f>
        <v>0.210808</v>
      </c>
      <c r="AG286" s="794">
        <f>(263509/100000)-AC286</f>
        <v>-7.3649100000000001</v>
      </c>
      <c r="AH286" s="959">
        <f>26351/100000</f>
        <v>0.26351000000000002</v>
      </c>
      <c r="AI286" s="919" t="s">
        <v>1238</v>
      </c>
    </row>
    <row r="287" spans="1:35" ht="30" x14ac:dyDescent="0.25">
      <c r="A287" s="45" t="s">
        <v>1239</v>
      </c>
      <c r="B287" s="46" t="s">
        <v>40</v>
      </c>
      <c r="C287" s="46" t="s">
        <v>41</v>
      </c>
      <c r="D287" s="46" t="s">
        <v>1240</v>
      </c>
      <c r="E287" s="46"/>
      <c r="F287" s="47" t="s">
        <v>63</v>
      </c>
      <c r="G287" s="48" t="s">
        <v>1241</v>
      </c>
      <c r="H287" s="45" t="s">
        <v>1242</v>
      </c>
      <c r="I287" s="46" t="s">
        <v>151</v>
      </c>
      <c r="J287" s="211"/>
      <c r="K287" s="261" t="s">
        <v>68</v>
      </c>
      <c r="L287" s="262" t="s">
        <v>626</v>
      </c>
      <c r="M287" s="283">
        <f>(1051917/250000)-K287</f>
        <v>0.20766799999999996</v>
      </c>
      <c r="N287" s="284">
        <f>262979/250000</f>
        <v>1.0519160000000001</v>
      </c>
      <c r="O287" s="283">
        <f>(1051917/200000)-K287</f>
        <v>1.2595850000000004</v>
      </c>
      <c r="P287" s="285">
        <f>262979/200000</f>
        <v>1.3148949999999999</v>
      </c>
      <c r="Q287" s="431" t="s">
        <v>68</v>
      </c>
      <c r="R287" s="432" t="s">
        <v>184</v>
      </c>
      <c r="S287" s="433">
        <f>(578592/250000)-Q287</f>
        <v>-1.685632</v>
      </c>
      <c r="T287" s="434">
        <f>144648/250000</f>
        <v>0.578592</v>
      </c>
      <c r="U287" s="433">
        <f>(578592/200000)-Q287</f>
        <v>-1.10704</v>
      </c>
      <c r="V287" s="435">
        <f>144648/200000</f>
        <v>0.72323999999999999</v>
      </c>
      <c r="W287" s="641" t="s">
        <v>60</v>
      </c>
      <c r="X287" s="612" t="s">
        <v>61</v>
      </c>
      <c r="Y287" s="627">
        <f>189789/250000</f>
        <v>0.75915600000000005</v>
      </c>
      <c r="Z287" s="642" t="s">
        <v>61</v>
      </c>
      <c r="AA287" s="627">
        <f>189789/200000</f>
        <v>0.94894500000000004</v>
      </c>
      <c r="AB287" s="643" t="s">
        <v>61</v>
      </c>
      <c r="AC287" s="816" t="s">
        <v>60</v>
      </c>
      <c r="AD287" s="793" t="s">
        <v>61</v>
      </c>
      <c r="AE287" s="799">
        <f>263509/250000</f>
        <v>1.054036</v>
      </c>
      <c r="AF287" s="817" t="s">
        <v>61</v>
      </c>
      <c r="AG287" s="799">
        <f>263509/200000</f>
        <v>1.317545</v>
      </c>
      <c r="AH287" s="968" t="s">
        <v>61</v>
      </c>
      <c r="AI287" s="919" t="s">
        <v>47</v>
      </c>
    </row>
    <row r="288" spans="1:35" ht="26.25" x14ac:dyDescent="0.25">
      <c r="A288" s="18" t="s">
        <v>1243</v>
      </c>
      <c r="B288" s="19" t="s">
        <v>40</v>
      </c>
      <c r="C288" s="19" t="s">
        <v>41</v>
      </c>
      <c r="D288" s="19" t="s">
        <v>1244</v>
      </c>
      <c r="E288" s="19" t="s">
        <v>1245</v>
      </c>
      <c r="F288" s="20"/>
      <c r="G288" s="21" t="s">
        <v>1246</v>
      </c>
      <c r="H288" s="18" t="s">
        <v>1242</v>
      </c>
      <c r="I288" s="19" t="s">
        <v>539</v>
      </c>
      <c r="J288" s="210"/>
      <c r="K288" s="250"/>
      <c r="L288" s="251"/>
      <c r="M288" s="252"/>
      <c r="N288" s="253"/>
      <c r="O288" s="252"/>
      <c r="P288" s="254"/>
      <c r="Q288" s="418"/>
      <c r="R288" s="419"/>
      <c r="S288" s="420"/>
      <c r="T288" s="421"/>
      <c r="U288" s="420"/>
      <c r="V288" s="422"/>
      <c r="W288" s="597"/>
      <c r="X288" s="598"/>
      <c r="Y288" s="599"/>
      <c r="Z288" s="600"/>
      <c r="AA288" s="599"/>
      <c r="AB288" s="601"/>
      <c r="AC288" s="781"/>
      <c r="AD288" s="782"/>
      <c r="AE288" s="783"/>
      <c r="AF288" s="784"/>
      <c r="AG288" s="783"/>
      <c r="AH288" s="957"/>
      <c r="AI288" s="913" t="s">
        <v>1247</v>
      </c>
    </row>
    <row r="289" spans="1:35" ht="51.75" x14ac:dyDescent="0.25">
      <c r="A289" s="18" t="s">
        <v>1248</v>
      </c>
      <c r="B289" s="19" t="s">
        <v>40</v>
      </c>
      <c r="C289" s="19" t="s">
        <v>41</v>
      </c>
      <c r="D289" s="19" t="s">
        <v>1244</v>
      </c>
      <c r="E289" s="19" t="s">
        <v>573</v>
      </c>
      <c r="F289" s="20"/>
      <c r="G289" s="21" t="s">
        <v>1249</v>
      </c>
      <c r="H289" s="22" t="s">
        <v>1250</v>
      </c>
      <c r="I289" s="19" t="s">
        <v>151</v>
      </c>
      <c r="J289" s="210"/>
      <c r="K289" s="250"/>
      <c r="L289" s="251"/>
      <c r="M289" s="252"/>
      <c r="N289" s="253"/>
      <c r="O289" s="252"/>
      <c r="P289" s="254"/>
      <c r="Q289" s="418"/>
      <c r="R289" s="419"/>
      <c r="S289" s="420"/>
      <c r="T289" s="421"/>
      <c r="U289" s="420"/>
      <c r="V289" s="422"/>
      <c r="W289" s="597"/>
      <c r="X289" s="598"/>
      <c r="Y289" s="599"/>
      <c r="Z289" s="600"/>
      <c r="AA289" s="599"/>
      <c r="AB289" s="601"/>
      <c r="AC289" s="781"/>
      <c r="AD289" s="782"/>
      <c r="AE289" s="783"/>
      <c r="AF289" s="784"/>
      <c r="AG289" s="783"/>
      <c r="AH289" s="957"/>
      <c r="AI289" s="913" t="s">
        <v>1251</v>
      </c>
    </row>
    <row r="290" spans="1:35" ht="26.25" x14ac:dyDescent="0.25">
      <c r="A290" s="23" t="s">
        <v>1252</v>
      </c>
      <c r="B290" s="24" t="s">
        <v>40</v>
      </c>
      <c r="C290" s="24" t="s">
        <v>41</v>
      </c>
      <c r="D290" s="24" t="s">
        <v>1244</v>
      </c>
      <c r="E290" s="24"/>
      <c r="F290" s="25" t="s">
        <v>55</v>
      </c>
      <c r="G290" s="26" t="s">
        <v>1253</v>
      </c>
      <c r="H290" s="72"/>
      <c r="I290" s="24"/>
      <c r="J290" s="210"/>
      <c r="K290" s="250" t="s">
        <v>149</v>
      </c>
      <c r="L290" s="251" t="s">
        <v>344</v>
      </c>
      <c r="M290" s="255">
        <f>(1051917/25000)-K290</f>
        <v>41.076680000000003</v>
      </c>
      <c r="N290" s="256">
        <f>1051917/25000</f>
        <v>42.076680000000003</v>
      </c>
      <c r="O290" s="255">
        <f>(1051917/20000)-K290</f>
        <v>51.595849999999999</v>
      </c>
      <c r="P290" s="257">
        <f>1051917/20000</f>
        <v>52.595849999999999</v>
      </c>
      <c r="Q290" s="418" t="s">
        <v>149</v>
      </c>
      <c r="R290" s="419" t="s">
        <v>627</v>
      </c>
      <c r="S290" s="425">
        <f>(578592/25000)-Q290</f>
        <v>22.14368</v>
      </c>
      <c r="T290" s="426">
        <f>578592/25000</f>
        <v>23.14368</v>
      </c>
      <c r="U290" s="425">
        <f>(578592/20000)-Q290</f>
        <v>27.929600000000001</v>
      </c>
      <c r="V290" s="427">
        <f>578592/20000</f>
        <v>28.929600000000001</v>
      </c>
      <c r="W290" s="617" t="s">
        <v>60</v>
      </c>
      <c r="X290" s="598" t="s">
        <v>61</v>
      </c>
      <c r="Y290" s="604">
        <f>(189789/25000)-W290</f>
        <v>7.5915600000000003</v>
      </c>
      <c r="Z290" s="605" t="s">
        <v>61</v>
      </c>
      <c r="AA290" s="604">
        <f>(189789/20000)-W290</f>
        <v>9.4894499999999997</v>
      </c>
      <c r="AB290" s="606" t="s">
        <v>61</v>
      </c>
      <c r="AC290" s="796" t="s">
        <v>60</v>
      </c>
      <c r="AD290" s="782" t="s">
        <v>61</v>
      </c>
      <c r="AE290" s="787">
        <f>(263509/25000)-AC290</f>
        <v>10.54036</v>
      </c>
      <c r="AF290" s="788" t="s">
        <v>61</v>
      </c>
      <c r="AG290" s="787">
        <f>(263509/20000)-AC290</f>
        <v>13.17545</v>
      </c>
      <c r="AH290" s="889" t="s">
        <v>61</v>
      </c>
      <c r="AI290" s="914" t="s">
        <v>1254</v>
      </c>
    </row>
    <row r="291" spans="1:35" ht="26.25" x14ac:dyDescent="0.25">
      <c r="A291" s="23" t="s">
        <v>1252</v>
      </c>
      <c r="B291" s="24" t="s">
        <v>40</v>
      </c>
      <c r="C291" s="24" t="s">
        <v>41</v>
      </c>
      <c r="D291" s="24" t="s">
        <v>1244</v>
      </c>
      <c r="E291" s="24"/>
      <c r="F291" s="25" t="s">
        <v>63</v>
      </c>
      <c r="G291" s="26" t="s">
        <v>1253</v>
      </c>
      <c r="H291" s="72"/>
      <c r="I291" s="24"/>
      <c r="J291" s="210"/>
      <c r="K291" s="250" t="s">
        <v>249</v>
      </c>
      <c r="L291" s="251" t="s">
        <v>1255</v>
      </c>
      <c r="M291" s="255">
        <f>(1051917/25000)-K291</f>
        <v>6.0766800000000032</v>
      </c>
      <c r="N291" s="256">
        <f>29219/25000</f>
        <v>1.16876</v>
      </c>
      <c r="O291" s="255">
        <f>(1051917/20000)-K291</f>
        <v>16.595849999999999</v>
      </c>
      <c r="P291" s="257">
        <f>29219/20000</f>
        <v>1.46095</v>
      </c>
      <c r="Q291" s="418" t="s">
        <v>74</v>
      </c>
      <c r="R291" s="419" t="s">
        <v>1256</v>
      </c>
      <c r="S291" s="425">
        <f>(578592/25000)-Q291</f>
        <v>3.1436799999999998</v>
      </c>
      <c r="T291" s="426">
        <f>28929/25000</f>
        <v>1.15716</v>
      </c>
      <c r="U291" s="425">
        <f>(578592/20000)-Q291</f>
        <v>8.9296000000000006</v>
      </c>
      <c r="V291" s="427">
        <f>28929/20000</f>
        <v>1.44645</v>
      </c>
      <c r="W291" s="597" t="s">
        <v>145</v>
      </c>
      <c r="X291" s="598" t="s">
        <v>196</v>
      </c>
      <c r="Y291" s="604">
        <f>(189789/25000)-W291</f>
        <v>1.5915600000000003</v>
      </c>
      <c r="Z291" s="605">
        <f>31631/25000</f>
        <v>1.2652399999999999</v>
      </c>
      <c r="AA291" s="604">
        <f>(189789/20000)-W291</f>
        <v>3.4894499999999997</v>
      </c>
      <c r="AB291" s="606">
        <f>31631/20000</f>
        <v>1.58155</v>
      </c>
      <c r="AC291" s="781" t="s">
        <v>1236</v>
      </c>
      <c r="AD291" s="782" t="s">
        <v>1237</v>
      </c>
      <c r="AE291" s="787">
        <f>(263509/25000)-AC291</f>
        <v>0.54035999999999973</v>
      </c>
      <c r="AF291" s="788">
        <f>26351/25000</f>
        <v>1.0540400000000001</v>
      </c>
      <c r="AG291" s="787">
        <f>(263509/20000)-AC291</f>
        <v>3.1754499999999997</v>
      </c>
      <c r="AH291" s="889">
        <f>26351/20000</f>
        <v>1.31755</v>
      </c>
      <c r="AI291" s="914"/>
    </row>
    <row r="292" spans="1:35" ht="30" x14ac:dyDescent="0.25">
      <c r="A292" s="86" t="s">
        <v>1252</v>
      </c>
      <c r="B292" s="87" t="s">
        <v>40</v>
      </c>
      <c r="C292" s="87" t="s">
        <v>41</v>
      </c>
      <c r="D292" s="87" t="s">
        <v>1244</v>
      </c>
      <c r="E292" s="87"/>
      <c r="F292" s="88" t="s">
        <v>72</v>
      </c>
      <c r="G292" s="89" t="s">
        <v>1253</v>
      </c>
      <c r="H292" s="90" t="s">
        <v>1257</v>
      </c>
      <c r="I292" s="87" t="s">
        <v>126</v>
      </c>
      <c r="J292" s="215"/>
      <c r="K292" s="298" t="s">
        <v>188</v>
      </c>
      <c r="L292" s="299" t="s">
        <v>727</v>
      </c>
      <c r="M292" s="300">
        <f>(1051917/25000)-K292</f>
        <v>5.0766800000000032</v>
      </c>
      <c r="N292" s="301">
        <f>28430/25000</f>
        <v>1.1372</v>
      </c>
      <c r="O292" s="300">
        <f>(1051917/20000)-K292</f>
        <v>15.595849999999999</v>
      </c>
      <c r="P292" s="302">
        <f>28430/20000</f>
        <v>1.4215</v>
      </c>
      <c r="Q292" s="470" t="s">
        <v>131</v>
      </c>
      <c r="R292" s="471" t="s">
        <v>1258</v>
      </c>
      <c r="S292" s="472">
        <f>(578592/25000)-Q292</f>
        <v>2.1436799999999998</v>
      </c>
      <c r="T292" s="473">
        <f>27552/25000</f>
        <v>1.1020799999999999</v>
      </c>
      <c r="U292" s="472">
        <f>(578592/20000)-Q292</f>
        <v>7.9296000000000006</v>
      </c>
      <c r="V292" s="474">
        <f>27552/20000</f>
        <v>1.3775999999999999</v>
      </c>
      <c r="W292" s="657" t="s">
        <v>145</v>
      </c>
      <c r="X292" s="658" t="s">
        <v>196</v>
      </c>
      <c r="Y292" s="659">
        <f>(189789/25000)-W292</f>
        <v>1.5915600000000003</v>
      </c>
      <c r="Z292" s="660">
        <v>1.2652399999999999</v>
      </c>
      <c r="AA292" s="659">
        <f>(189789/20000)-W292</f>
        <v>3.4894499999999997</v>
      </c>
      <c r="AB292" s="661">
        <v>1.58155</v>
      </c>
      <c r="AC292" s="824" t="s">
        <v>1236</v>
      </c>
      <c r="AD292" s="825" t="s">
        <v>1237</v>
      </c>
      <c r="AE292" s="826">
        <f>(263509/25000)-AC292</f>
        <v>0.54035999999999973</v>
      </c>
      <c r="AF292" s="827">
        <v>1.0540400000000001</v>
      </c>
      <c r="AG292" s="826">
        <f>(263509/20000)-AC292</f>
        <v>3.1754499999999997</v>
      </c>
      <c r="AH292" s="971">
        <v>1.31755</v>
      </c>
      <c r="AI292" s="926"/>
    </row>
    <row r="293" spans="1:35" ht="51.75" x14ac:dyDescent="0.25">
      <c r="A293" s="91" t="s">
        <v>1259</v>
      </c>
      <c r="B293" s="92" t="s">
        <v>40</v>
      </c>
      <c r="C293" s="92" t="s">
        <v>41</v>
      </c>
      <c r="D293" s="92" t="s">
        <v>1260</v>
      </c>
      <c r="E293" s="92"/>
      <c r="F293" s="93" t="s">
        <v>1261</v>
      </c>
      <c r="G293" s="94" t="s">
        <v>1262</v>
      </c>
      <c r="H293" s="95"/>
      <c r="I293" s="92"/>
      <c r="J293" s="216"/>
      <c r="K293" s="303"/>
      <c r="L293" s="304"/>
      <c r="M293" s="305"/>
      <c r="N293" s="306"/>
      <c r="O293" s="305"/>
      <c r="P293" s="307"/>
      <c r="Q293" s="475"/>
      <c r="R293" s="476"/>
      <c r="S293" s="477"/>
      <c r="T293" s="478"/>
      <c r="U293" s="477"/>
      <c r="V293" s="479"/>
      <c r="W293" s="662"/>
      <c r="X293" s="663"/>
      <c r="Y293" s="664"/>
      <c r="Z293" s="665"/>
      <c r="AA293" s="664"/>
      <c r="AB293" s="666"/>
      <c r="AC293" s="828"/>
      <c r="AD293" s="829"/>
      <c r="AE293" s="830"/>
      <c r="AF293" s="831"/>
      <c r="AG293" s="830"/>
      <c r="AH293" s="972"/>
      <c r="AI293" s="927"/>
    </row>
    <row r="294" spans="1:35" ht="51.75" x14ac:dyDescent="0.25">
      <c r="A294" s="91" t="s">
        <v>1263</v>
      </c>
      <c r="B294" s="92" t="s">
        <v>40</v>
      </c>
      <c r="C294" s="92" t="s">
        <v>41</v>
      </c>
      <c r="D294" s="92" t="s">
        <v>1260</v>
      </c>
      <c r="E294" s="92"/>
      <c r="F294" s="93" t="s">
        <v>1264</v>
      </c>
      <c r="G294" s="94" t="s">
        <v>1262</v>
      </c>
      <c r="H294" s="95"/>
      <c r="I294" s="92"/>
      <c r="J294" s="216"/>
      <c r="K294" s="303"/>
      <c r="L294" s="304"/>
      <c r="M294" s="305"/>
      <c r="N294" s="306"/>
      <c r="O294" s="305"/>
      <c r="P294" s="307"/>
      <c r="Q294" s="475"/>
      <c r="R294" s="476"/>
      <c r="S294" s="477"/>
      <c r="T294" s="478"/>
      <c r="U294" s="477"/>
      <c r="V294" s="479"/>
      <c r="W294" s="662"/>
      <c r="X294" s="663"/>
      <c r="Y294" s="664"/>
      <c r="Z294" s="665"/>
      <c r="AA294" s="664"/>
      <c r="AB294" s="666"/>
      <c r="AC294" s="828"/>
      <c r="AD294" s="829"/>
      <c r="AE294" s="830"/>
      <c r="AF294" s="831"/>
      <c r="AG294" s="830"/>
      <c r="AH294" s="972"/>
      <c r="AI294" s="927"/>
    </row>
    <row r="295" spans="1:35" ht="52.5" thickBot="1" x14ac:dyDescent="0.3">
      <c r="A295" s="96" t="s">
        <v>1265</v>
      </c>
      <c r="B295" s="97" t="s">
        <v>40</v>
      </c>
      <c r="C295" s="97" t="s">
        <v>41</v>
      </c>
      <c r="D295" s="97" t="s">
        <v>1266</v>
      </c>
      <c r="E295" s="97"/>
      <c r="F295" s="98" t="s">
        <v>1266</v>
      </c>
      <c r="G295" s="99" t="s">
        <v>1262</v>
      </c>
      <c r="H295" s="100"/>
      <c r="I295" s="97"/>
      <c r="J295" s="217"/>
      <c r="K295" s="308"/>
      <c r="L295" s="309"/>
      <c r="M295" s="310"/>
      <c r="N295" s="311"/>
      <c r="O295" s="310"/>
      <c r="P295" s="312"/>
      <c r="Q295" s="480"/>
      <c r="R295" s="481"/>
      <c r="S295" s="482"/>
      <c r="T295" s="483"/>
      <c r="U295" s="482"/>
      <c r="V295" s="484"/>
      <c r="W295" s="667"/>
      <c r="X295" s="668"/>
      <c r="Y295" s="669"/>
      <c r="Z295" s="670"/>
      <c r="AA295" s="669"/>
      <c r="AB295" s="671"/>
      <c r="AC295" s="832"/>
      <c r="AD295" s="833"/>
      <c r="AE295" s="834"/>
      <c r="AF295" s="835"/>
      <c r="AG295" s="834"/>
      <c r="AH295" s="973"/>
      <c r="AI295" s="928"/>
    </row>
    <row r="296" spans="1:35" ht="26.25" x14ac:dyDescent="0.25">
      <c r="A296" s="101" t="s">
        <v>1267</v>
      </c>
      <c r="B296" s="102" t="s">
        <v>40</v>
      </c>
      <c r="C296" s="102" t="s">
        <v>1268</v>
      </c>
      <c r="D296" s="102" t="s">
        <v>1269</v>
      </c>
      <c r="E296" s="102"/>
      <c r="F296" s="103" t="s">
        <v>1270</v>
      </c>
      <c r="G296" s="104" t="s">
        <v>1269</v>
      </c>
      <c r="H296" s="101" t="s">
        <v>1271</v>
      </c>
      <c r="I296" s="102" t="s">
        <v>1272</v>
      </c>
      <c r="J296" s="218"/>
      <c r="K296" s="313"/>
      <c r="L296" s="314"/>
      <c r="M296" s="315"/>
      <c r="N296" s="316"/>
      <c r="O296" s="315"/>
      <c r="P296" s="317"/>
      <c r="Q296" s="485"/>
      <c r="R296" s="486"/>
      <c r="S296" s="487"/>
      <c r="T296" s="488"/>
      <c r="U296" s="487"/>
      <c r="V296" s="489"/>
      <c r="W296" s="672"/>
      <c r="X296" s="673"/>
      <c r="Y296" s="674"/>
      <c r="Z296" s="675"/>
      <c r="AA296" s="674"/>
      <c r="AB296" s="676"/>
      <c r="AC296" s="836"/>
      <c r="AD296" s="837"/>
      <c r="AE296" s="838"/>
      <c r="AF296" s="839"/>
      <c r="AG296" s="838"/>
      <c r="AH296" s="974"/>
      <c r="AI296" s="929" t="s">
        <v>1273</v>
      </c>
    </row>
    <row r="297" spans="1:35" ht="26.25" x14ac:dyDescent="0.25">
      <c r="A297" s="32" t="s">
        <v>1274</v>
      </c>
      <c r="B297" s="33" t="s">
        <v>40</v>
      </c>
      <c r="C297" s="33" t="s">
        <v>1268</v>
      </c>
      <c r="D297" s="33" t="s">
        <v>1275</v>
      </c>
      <c r="E297" s="33"/>
      <c r="F297" s="34" t="s">
        <v>1276</v>
      </c>
      <c r="G297" s="35" t="s">
        <v>1275</v>
      </c>
      <c r="H297" s="32" t="s">
        <v>1277</v>
      </c>
      <c r="I297" s="33" t="s">
        <v>1278</v>
      </c>
      <c r="J297" s="210"/>
      <c r="K297" s="250"/>
      <c r="L297" s="251"/>
      <c r="M297" s="252"/>
      <c r="N297" s="253"/>
      <c r="O297" s="252"/>
      <c r="P297" s="254"/>
      <c r="Q297" s="418"/>
      <c r="R297" s="419"/>
      <c r="S297" s="420"/>
      <c r="T297" s="421"/>
      <c r="U297" s="420"/>
      <c r="V297" s="422"/>
      <c r="W297" s="597"/>
      <c r="X297" s="598"/>
      <c r="Y297" s="599"/>
      <c r="Z297" s="600"/>
      <c r="AA297" s="599"/>
      <c r="AB297" s="601"/>
      <c r="AC297" s="781"/>
      <c r="AD297" s="782"/>
      <c r="AE297" s="783"/>
      <c r="AF297" s="784"/>
      <c r="AG297" s="783"/>
      <c r="AH297" s="957"/>
      <c r="AI297" s="916" t="s">
        <v>1279</v>
      </c>
    </row>
    <row r="298" spans="1:35" ht="26.25" x14ac:dyDescent="0.25">
      <c r="A298" s="32" t="s">
        <v>1280</v>
      </c>
      <c r="B298" s="33" t="s">
        <v>40</v>
      </c>
      <c r="C298" s="33" t="s">
        <v>1268</v>
      </c>
      <c r="D298" s="33" t="s">
        <v>1281</v>
      </c>
      <c r="E298" s="33"/>
      <c r="F298" s="34" t="s">
        <v>1282</v>
      </c>
      <c r="G298" s="35" t="s">
        <v>1281</v>
      </c>
      <c r="H298" s="36" t="s">
        <v>1283</v>
      </c>
      <c r="I298" s="105" t="s">
        <v>1284</v>
      </c>
      <c r="J298" s="210"/>
      <c r="K298" s="250"/>
      <c r="L298" s="251"/>
      <c r="M298" s="252"/>
      <c r="N298" s="253"/>
      <c r="O298" s="252"/>
      <c r="P298" s="254"/>
      <c r="Q298" s="418"/>
      <c r="R298" s="419"/>
      <c r="S298" s="420"/>
      <c r="T298" s="421"/>
      <c r="U298" s="420"/>
      <c r="V298" s="422"/>
      <c r="W298" s="597"/>
      <c r="X298" s="598"/>
      <c r="Y298" s="599"/>
      <c r="Z298" s="600"/>
      <c r="AA298" s="599"/>
      <c r="AB298" s="601"/>
      <c r="AC298" s="781"/>
      <c r="AD298" s="782"/>
      <c r="AE298" s="783"/>
      <c r="AF298" s="784"/>
      <c r="AG298" s="783"/>
      <c r="AH298" s="957"/>
      <c r="AI298" s="916" t="s">
        <v>1273</v>
      </c>
    </row>
    <row r="299" spans="1:35" ht="26.25" x14ac:dyDescent="0.25">
      <c r="A299" s="106" t="s">
        <v>1285</v>
      </c>
      <c r="B299" s="107" t="s">
        <v>40</v>
      </c>
      <c r="C299" s="107" t="s">
        <v>1268</v>
      </c>
      <c r="D299" s="107" t="s">
        <v>1286</v>
      </c>
      <c r="E299" s="107" t="s">
        <v>1287</v>
      </c>
      <c r="F299" s="108"/>
      <c r="G299" s="109" t="s">
        <v>1288</v>
      </c>
      <c r="H299" s="106" t="s">
        <v>816</v>
      </c>
      <c r="I299" s="107" t="s">
        <v>89</v>
      </c>
      <c r="J299" s="219"/>
      <c r="K299" s="318"/>
      <c r="L299" s="319"/>
      <c r="M299" s="295"/>
      <c r="N299" s="296"/>
      <c r="O299" s="295"/>
      <c r="P299" s="297"/>
      <c r="Q299" s="490"/>
      <c r="R299" s="491"/>
      <c r="S299" s="467"/>
      <c r="T299" s="468"/>
      <c r="U299" s="467"/>
      <c r="V299" s="469"/>
      <c r="W299" s="677"/>
      <c r="X299" s="678"/>
      <c r="Y299" s="654"/>
      <c r="Z299" s="655"/>
      <c r="AA299" s="654"/>
      <c r="AB299" s="656"/>
      <c r="AC299" s="840"/>
      <c r="AD299" s="841"/>
      <c r="AE299" s="822"/>
      <c r="AF299" s="823"/>
      <c r="AG299" s="822"/>
      <c r="AH299" s="970"/>
      <c r="AI299" s="930" t="s">
        <v>1289</v>
      </c>
    </row>
    <row r="300" spans="1:35" ht="64.5" x14ac:dyDescent="0.25">
      <c r="A300" s="32" t="s">
        <v>1290</v>
      </c>
      <c r="B300" s="33" t="s">
        <v>40</v>
      </c>
      <c r="C300" s="33" t="s">
        <v>1268</v>
      </c>
      <c r="D300" s="33" t="s">
        <v>1286</v>
      </c>
      <c r="E300" s="33"/>
      <c r="F300" s="34" t="s">
        <v>1291</v>
      </c>
      <c r="G300" s="35" t="s">
        <v>1286</v>
      </c>
      <c r="H300" s="32" t="s">
        <v>1292</v>
      </c>
      <c r="I300" s="33" t="s">
        <v>1293</v>
      </c>
      <c r="J300" s="210"/>
      <c r="K300" s="250"/>
      <c r="L300" s="251"/>
      <c r="M300" s="252"/>
      <c r="N300" s="253"/>
      <c r="O300" s="252"/>
      <c r="P300" s="254"/>
      <c r="Q300" s="418"/>
      <c r="R300" s="419"/>
      <c r="S300" s="420"/>
      <c r="T300" s="421"/>
      <c r="U300" s="420"/>
      <c r="V300" s="422"/>
      <c r="W300" s="597"/>
      <c r="X300" s="598"/>
      <c r="Y300" s="599"/>
      <c r="Z300" s="600"/>
      <c r="AA300" s="599"/>
      <c r="AB300" s="601"/>
      <c r="AC300" s="781"/>
      <c r="AD300" s="782"/>
      <c r="AE300" s="783"/>
      <c r="AF300" s="784"/>
      <c r="AG300" s="783"/>
      <c r="AH300" s="957"/>
      <c r="AI300" s="916" t="s">
        <v>1294</v>
      </c>
    </row>
    <row r="301" spans="1:35" ht="64.5" x14ac:dyDescent="0.25">
      <c r="A301" s="18" t="s">
        <v>1295</v>
      </c>
      <c r="B301" s="19" t="s">
        <v>40</v>
      </c>
      <c r="C301" s="19" t="s">
        <v>1268</v>
      </c>
      <c r="D301" s="19" t="s">
        <v>1296</v>
      </c>
      <c r="E301" s="19" t="s">
        <v>1297</v>
      </c>
      <c r="F301" s="20" t="s">
        <v>1298</v>
      </c>
      <c r="G301" s="21" t="s">
        <v>1299</v>
      </c>
      <c r="H301" s="18" t="s">
        <v>1300</v>
      </c>
      <c r="I301" s="19" t="s">
        <v>1278</v>
      </c>
      <c r="J301" s="210"/>
      <c r="K301" s="250">
        <v>96</v>
      </c>
      <c r="L301" s="251" t="s">
        <v>1301</v>
      </c>
      <c r="M301" s="279">
        <f>(1051917/5000)-K301</f>
        <v>114.38339999999999</v>
      </c>
      <c r="N301" s="280">
        <f>10957/5000</f>
        <v>2.1913999999999998</v>
      </c>
      <c r="O301" s="279">
        <f>(1051917/2000)-K301</f>
        <v>429.95849999999996</v>
      </c>
      <c r="P301" s="281">
        <f>10957/2000</f>
        <v>5.4785000000000004</v>
      </c>
      <c r="Q301" s="418">
        <v>57</v>
      </c>
      <c r="R301" s="419" t="s">
        <v>1302</v>
      </c>
      <c r="S301" s="439">
        <f>(578592/5000)-Q301</f>
        <v>58.718400000000003</v>
      </c>
      <c r="T301" s="440">
        <f>10151/5000</f>
        <v>2.0301999999999998</v>
      </c>
      <c r="U301" s="439">
        <f>(578592/2000)-Q301</f>
        <v>232.29599999999999</v>
      </c>
      <c r="V301" s="441">
        <f>10151/2000</f>
        <v>5.0754999999999999</v>
      </c>
      <c r="W301" s="597">
        <v>21</v>
      </c>
      <c r="X301" s="598" t="s">
        <v>1303</v>
      </c>
      <c r="Y301" s="644">
        <f>(189789/5000)-W301</f>
        <v>16.957799999999999</v>
      </c>
      <c r="Z301" s="645">
        <f>9038/5000</f>
        <v>1.8076000000000001</v>
      </c>
      <c r="AA301" s="644">
        <f>(189789/2000)-W301</f>
        <v>73.894499999999994</v>
      </c>
      <c r="AB301" s="646">
        <f>9038/2000</f>
        <v>4.5190000000000001</v>
      </c>
      <c r="AC301" s="781">
        <v>18</v>
      </c>
      <c r="AD301" s="782" t="s">
        <v>1304</v>
      </c>
      <c r="AE301" s="804">
        <f>(263509/5000)-AC301</f>
        <v>34.701799999999999</v>
      </c>
      <c r="AF301" s="805">
        <f>14639/5000</f>
        <v>2.9278</v>
      </c>
      <c r="AG301" s="804">
        <f>(263509/2000)-AC301</f>
        <v>113.75450000000001</v>
      </c>
      <c r="AH301" s="964">
        <f>14639/2000</f>
        <v>7.3194999999999997</v>
      </c>
      <c r="AI301" s="913"/>
    </row>
    <row r="302" spans="1:35" ht="26.25" x14ac:dyDescent="0.25">
      <c r="A302" s="18" t="s">
        <v>1305</v>
      </c>
      <c r="B302" s="19" t="s">
        <v>40</v>
      </c>
      <c r="C302" s="19" t="s">
        <v>1268</v>
      </c>
      <c r="D302" s="19" t="s">
        <v>1296</v>
      </c>
      <c r="E302" s="19" t="s">
        <v>1306</v>
      </c>
      <c r="F302" s="20"/>
      <c r="G302" s="21" t="s">
        <v>1307</v>
      </c>
      <c r="H302" s="18" t="s">
        <v>1292</v>
      </c>
      <c r="I302" s="19" t="s">
        <v>1293</v>
      </c>
      <c r="J302" s="210"/>
      <c r="K302" s="250"/>
      <c r="L302" s="251"/>
      <c r="M302" s="252"/>
      <c r="N302" s="253"/>
      <c r="O302" s="252"/>
      <c r="P302" s="254"/>
      <c r="Q302" s="418"/>
      <c r="R302" s="419"/>
      <c r="S302" s="420"/>
      <c r="T302" s="421"/>
      <c r="U302" s="420"/>
      <c r="V302" s="422"/>
      <c r="W302" s="597"/>
      <c r="X302" s="598"/>
      <c r="Y302" s="599"/>
      <c r="Z302" s="600"/>
      <c r="AA302" s="599"/>
      <c r="AB302" s="601"/>
      <c r="AC302" s="781"/>
      <c r="AD302" s="782"/>
      <c r="AE302" s="783"/>
      <c r="AF302" s="784"/>
      <c r="AG302" s="783"/>
      <c r="AH302" s="957"/>
      <c r="AI302" s="913"/>
    </row>
    <row r="303" spans="1:35" ht="51.75" x14ac:dyDescent="0.25">
      <c r="A303" s="110" t="s">
        <v>1308</v>
      </c>
      <c r="B303" s="111" t="s">
        <v>40</v>
      </c>
      <c r="C303" s="111" t="s">
        <v>1268</v>
      </c>
      <c r="D303" s="111" t="s">
        <v>1296</v>
      </c>
      <c r="E303" s="111" t="s">
        <v>1306</v>
      </c>
      <c r="F303" s="112" t="s">
        <v>1309</v>
      </c>
      <c r="G303" s="113" t="s">
        <v>1262</v>
      </c>
      <c r="H303" s="110"/>
      <c r="I303" s="111"/>
      <c r="J303" s="210"/>
      <c r="K303" s="250"/>
      <c r="L303" s="251"/>
      <c r="M303" s="252"/>
      <c r="N303" s="253"/>
      <c r="O303" s="252"/>
      <c r="P303" s="254"/>
      <c r="Q303" s="418"/>
      <c r="R303" s="419"/>
      <c r="S303" s="420"/>
      <c r="T303" s="421"/>
      <c r="U303" s="420"/>
      <c r="V303" s="422"/>
      <c r="W303" s="597"/>
      <c r="X303" s="598"/>
      <c r="Y303" s="599"/>
      <c r="Z303" s="600"/>
      <c r="AA303" s="599"/>
      <c r="AB303" s="601"/>
      <c r="AC303" s="781"/>
      <c r="AD303" s="782"/>
      <c r="AE303" s="783"/>
      <c r="AF303" s="784"/>
      <c r="AG303" s="783"/>
      <c r="AH303" s="957"/>
      <c r="AI303" s="931"/>
    </row>
    <row r="304" spans="1:35" ht="26.25" x14ac:dyDescent="0.25">
      <c r="A304" s="18" t="s">
        <v>1310</v>
      </c>
      <c r="B304" s="19" t="s">
        <v>40</v>
      </c>
      <c r="C304" s="19" t="s">
        <v>1268</v>
      </c>
      <c r="D304" s="19" t="s">
        <v>1296</v>
      </c>
      <c r="E304" s="19" t="s">
        <v>1311</v>
      </c>
      <c r="F304" s="20"/>
      <c r="G304" s="21" t="s">
        <v>1312</v>
      </c>
      <c r="H304" s="18" t="s">
        <v>1313</v>
      </c>
      <c r="I304" s="19" t="s">
        <v>432</v>
      </c>
      <c r="J304" s="210"/>
      <c r="K304" s="250"/>
      <c r="L304" s="251"/>
      <c r="M304" s="252"/>
      <c r="N304" s="253"/>
      <c r="O304" s="252"/>
      <c r="P304" s="254"/>
      <c r="Q304" s="418"/>
      <c r="R304" s="419"/>
      <c r="S304" s="420"/>
      <c r="T304" s="421"/>
      <c r="U304" s="420"/>
      <c r="V304" s="422"/>
      <c r="W304" s="597"/>
      <c r="X304" s="598"/>
      <c r="Y304" s="599"/>
      <c r="Z304" s="600"/>
      <c r="AA304" s="599"/>
      <c r="AB304" s="601"/>
      <c r="AC304" s="781"/>
      <c r="AD304" s="782"/>
      <c r="AE304" s="783"/>
      <c r="AF304" s="784"/>
      <c r="AG304" s="783"/>
      <c r="AH304" s="957"/>
      <c r="AI304" s="913"/>
    </row>
    <row r="305" spans="1:35" ht="64.5" x14ac:dyDescent="0.25">
      <c r="A305" s="18" t="s">
        <v>1314</v>
      </c>
      <c r="B305" s="19" t="s">
        <v>40</v>
      </c>
      <c r="C305" s="19" t="s">
        <v>1268</v>
      </c>
      <c r="D305" s="19" t="s">
        <v>1296</v>
      </c>
      <c r="E305" s="19" t="s">
        <v>1315</v>
      </c>
      <c r="F305" s="20" t="s">
        <v>1316</v>
      </c>
      <c r="G305" s="21" t="s">
        <v>1317</v>
      </c>
      <c r="H305" s="18" t="s">
        <v>1318</v>
      </c>
      <c r="I305" s="19" t="s">
        <v>1278</v>
      </c>
      <c r="J305" s="210"/>
      <c r="K305" s="250" t="s">
        <v>1319</v>
      </c>
      <c r="L305" s="251" t="s">
        <v>1319</v>
      </c>
      <c r="M305" s="252" t="s">
        <v>1319</v>
      </c>
      <c r="N305" s="253" t="s">
        <v>1319</v>
      </c>
      <c r="O305" s="252" t="s">
        <v>1319</v>
      </c>
      <c r="P305" s="254" t="s">
        <v>1319</v>
      </c>
      <c r="Q305" s="418" t="s">
        <v>1319</v>
      </c>
      <c r="R305" s="419" t="s">
        <v>1319</v>
      </c>
      <c r="S305" s="420" t="s">
        <v>1319</v>
      </c>
      <c r="T305" s="421" t="s">
        <v>1319</v>
      </c>
      <c r="U305" s="420" t="s">
        <v>1319</v>
      </c>
      <c r="V305" s="422" t="s">
        <v>1319</v>
      </c>
      <c r="W305" s="597" t="s">
        <v>1319</v>
      </c>
      <c r="X305" s="598" t="s">
        <v>1319</v>
      </c>
      <c r="Y305" s="599" t="s">
        <v>1319</v>
      </c>
      <c r="Z305" s="600" t="s">
        <v>1319</v>
      </c>
      <c r="AA305" s="599" t="s">
        <v>1319</v>
      </c>
      <c r="AB305" s="601" t="s">
        <v>1319</v>
      </c>
      <c r="AC305" s="781" t="s">
        <v>1319</v>
      </c>
      <c r="AD305" s="782" t="s">
        <v>1319</v>
      </c>
      <c r="AE305" s="783" t="s">
        <v>1319</v>
      </c>
      <c r="AF305" s="784" t="s">
        <v>1319</v>
      </c>
      <c r="AG305" s="783" t="s">
        <v>1319</v>
      </c>
      <c r="AH305" s="957" t="s">
        <v>1319</v>
      </c>
      <c r="AI305" s="913"/>
    </row>
    <row r="306" spans="1:35" ht="26.25" x14ac:dyDescent="0.25">
      <c r="A306" s="18" t="s">
        <v>1320</v>
      </c>
      <c r="B306" s="19" t="s">
        <v>40</v>
      </c>
      <c r="C306" s="19" t="s">
        <v>1268</v>
      </c>
      <c r="D306" s="19" t="s">
        <v>1296</v>
      </c>
      <c r="E306" s="19" t="s">
        <v>1321</v>
      </c>
      <c r="F306" s="20"/>
      <c r="G306" s="21" t="s">
        <v>1322</v>
      </c>
      <c r="H306" s="18" t="s">
        <v>1292</v>
      </c>
      <c r="I306" s="19" t="s">
        <v>1323</v>
      </c>
      <c r="J306" s="210"/>
      <c r="K306" s="250"/>
      <c r="L306" s="251"/>
      <c r="M306" s="252"/>
      <c r="N306" s="253"/>
      <c r="O306" s="252"/>
      <c r="P306" s="254"/>
      <c r="Q306" s="418"/>
      <c r="R306" s="419"/>
      <c r="S306" s="420"/>
      <c r="T306" s="421"/>
      <c r="U306" s="420"/>
      <c r="V306" s="422"/>
      <c r="W306" s="597"/>
      <c r="X306" s="598"/>
      <c r="Y306" s="599"/>
      <c r="Z306" s="600"/>
      <c r="AA306" s="599"/>
      <c r="AB306" s="601"/>
      <c r="AC306" s="781"/>
      <c r="AD306" s="782"/>
      <c r="AE306" s="783"/>
      <c r="AF306" s="784"/>
      <c r="AG306" s="783"/>
      <c r="AH306" s="957"/>
      <c r="AI306" s="913"/>
    </row>
    <row r="307" spans="1:35" ht="64.5" x14ac:dyDescent="0.25">
      <c r="A307" s="110" t="s">
        <v>1324</v>
      </c>
      <c r="B307" s="111" t="s">
        <v>40</v>
      </c>
      <c r="C307" s="111" t="s">
        <v>1268</v>
      </c>
      <c r="D307" s="111" t="s">
        <v>1296</v>
      </c>
      <c r="E307" s="111"/>
      <c r="F307" s="112" t="s">
        <v>1325</v>
      </c>
      <c r="G307" s="113" t="s">
        <v>1262</v>
      </c>
      <c r="H307" s="110"/>
      <c r="I307" s="111"/>
      <c r="J307" s="210"/>
      <c r="K307" s="250"/>
      <c r="L307" s="251"/>
      <c r="M307" s="252"/>
      <c r="N307" s="253"/>
      <c r="O307" s="252"/>
      <c r="P307" s="254"/>
      <c r="Q307" s="418"/>
      <c r="R307" s="419"/>
      <c r="S307" s="420"/>
      <c r="T307" s="421"/>
      <c r="U307" s="420"/>
      <c r="V307" s="422"/>
      <c r="W307" s="597"/>
      <c r="X307" s="598"/>
      <c r="Y307" s="599"/>
      <c r="Z307" s="600"/>
      <c r="AA307" s="599"/>
      <c r="AB307" s="601"/>
      <c r="AC307" s="781"/>
      <c r="AD307" s="782"/>
      <c r="AE307" s="783"/>
      <c r="AF307" s="784"/>
      <c r="AG307" s="783"/>
      <c r="AH307" s="957"/>
      <c r="AI307" s="931"/>
    </row>
    <row r="308" spans="1:35" ht="51.75" x14ac:dyDescent="0.25">
      <c r="A308" s="110" t="s">
        <v>1326</v>
      </c>
      <c r="B308" s="111" t="s">
        <v>40</v>
      </c>
      <c r="C308" s="111" t="s">
        <v>1268</v>
      </c>
      <c r="D308" s="111" t="s">
        <v>1296</v>
      </c>
      <c r="E308" s="111"/>
      <c r="F308" s="112" t="s">
        <v>1327</v>
      </c>
      <c r="G308" s="113" t="s">
        <v>1262</v>
      </c>
      <c r="H308" s="110"/>
      <c r="I308" s="111"/>
      <c r="J308" s="210"/>
      <c r="K308" s="250"/>
      <c r="L308" s="251"/>
      <c r="M308" s="252"/>
      <c r="N308" s="253"/>
      <c r="O308" s="252"/>
      <c r="P308" s="254"/>
      <c r="Q308" s="418"/>
      <c r="R308" s="419"/>
      <c r="S308" s="420"/>
      <c r="T308" s="421"/>
      <c r="U308" s="420"/>
      <c r="V308" s="422"/>
      <c r="W308" s="597"/>
      <c r="X308" s="598"/>
      <c r="Y308" s="599"/>
      <c r="Z308" s="600"/>
      <c r="AA308" s="599"/>
      <c r="AB308" s="601"/>
      <c r="AC308" s="781"/>
      <c r="AD308" s="782"/>
      <c r="AE308" s="783"/>
      <c r="AF308" s="784"/>
      <c r="AG308" s="783"/>
      <c r="AH308" s="957"/>
      <c r="AI308" s="931"/>
    </row>
    <row r="309" spans="1:35" ht="90" x14ac:dyDescent="0.25">
      <c r="A309" s="27" t="s">
        <v>1328</v>
      </c>
      <c r="B309" s="28" t="s">
        <v>40</v>
      </c>
      <c r="C309" s="28" t="s">
        <v>1268</v>
      </c>
      <c r="D309" s="28" t="s">
        <v>1296</v>
      </c>
      <c r="E309" s="28"/>
      <c r="F309" s="29" t="s">
        <v>1316</v>
      </c>
      <c r="G309" s="30" t="s">
        <v>1296</v>
      </c>
      <c r="H309" s="31" t="s">
        <v>1292</v>
      </c>
      <c r="I309" s="115" t="s">
        <v>1293</v>
      </c>
      <c r="J309" s="211"/>
      <c r="K309" s="261">
        <v>1044</v>
      </c>
      <c r="L309" s="262" t="s">
        <v>1329</v>
      </c>
      <c r="M309" s="263">
        <f>(1051917/5000)-K309</f>
        <v>-833.61660000000006</v>
      </c>
      <c r="N309" s="264">
        <f>1008/5000</f>
        <v>0.2016</v>
      </c>
      <c r="O309" s="263">
        <f>(1051917/2000)-K309</f>
        <v>-518.04150000000004</v>
      </c>
      <c r="P309" s="265">
        <f>1008/2000</f>
        <v>0.504</v>
      </c>
      <c r="Q309" s="431">
        <v>641</v>
      </c>
      <c r="R309" s="432" t="s">
        <v>1330</v>
      </c>
      <c r="S309" s="433">
        <f>(578592/5000)-Q309</f>
        <v>-525.28160000000003</v>
      </c>
      <c r="T309" s="434">
        <f>903/5000</f>
        <v>0.18060000000000001</v>
      </c>
      <c r="U309" s="433">
        <f>(578592/2000)-Q309</f>
        <v>-351.70400000000001</v>
      </c>
      <c r="V309" s="435">
        <f>903/2000</f>
        <v>0.45150000000000001</v>
      </c>
      <c r="W309" s="611">
        <v>163</v>
      </c>
      <c r="X309" s="612" t="s">
        <v>1331</v>
      </c>
      <c r="Y309" s="613">
        <f>(189789/5000)-W309</f>
        <v>-125.04220000000001</v>
      </c>
      <c r="Z309" s="614">
        <f>1164/5000</f>
        <v>0.23280000000000001</v>
      </c>
      <c r="AA309" s="613">
        <f>(189789/2000)-W309</f>
        <v>-68.105500000000006</v>
      </c>
      <c r="AB309" s="615">
        <f>1164/2000</f>
        <v>0.58199999999999996</v>
      </c>
      <c r="AC309" s="792">
        <v>240</v>
      </c>
      <c r="AD309" s="793" t="s">
        <v>1332</v>
      </c>
      <c r="AE309" s="794">
        <f>(263509/5000)-AC309</f>
        <v>-187.29820000000001</v>
      </c>
      <c r="AF309" s="795">
        <f>1098/5000</f>
        <v>0.21959999999999999</v>
      </c>
      <c r="AG309" s="794">
        <f>(263509/2000)-AC309</f>
        <v>-108.24549999999999</v>
      </c>
      <c r="AH309" s="959">
        <f>1098/2000</f>
        <v>0.54900000000000004</v>
      </c>
      <c r="AI309" s="915" t="s">
        <v>1333</v>
      </c>
    </row>
    <row r="310" spans="1:35" ht="64.5" x14ac:dyDescent="0.25">
      <c r="A310" s="32" t="s">
        <v>1334</v>
      </c>
      <c r="B310" s="33" t="s">
        <v>40</v>
      </c>
      <c r="C310" s="33" t="s">
        <v>1268</v>
      </c>
      <c r="D310" s="33" t="s">
        <v>1335</v>
      </c>
      <c r="E310" s="33"/>
      <c r="F310" s="34" t="s">
        <v>1291</v>
      </c>
      <c r="G310" s="35" t="s">
        <v>1335</v>
      </c>
      <c r="H310" s="32" t="s">
        <v>613</v>
      </c>
      <c r="I310" s="33" t="s">
        <v>89</v>
      </c>
      <c r="J310" s="210"/>
      <c r="K310" s="250"/>
      <c r="L310" s="251"/>
      <c r="M310" s="252"/>
      <c r="N310" s="253"/>
      <c r="O310" s="252"/>
      <c r="P310" s="254"/>
      <c r="Q310" s="418"/>
      <c r="R310" s="419"/>
      <c r="S310" s="420"/>
      <c r="T310" s="421"/>
      <c r="U310" s="420"/>
      <c r="V310" s="422"/>
      <c r="W310" s="597"/>
      <c r="X310" s="598"/>
      <c r="Y310" s="599"/>
      <c r="Z310" s="600"/>
      <c r="AA310" s="599"/>
      <c r="AB310" s="601"/>
      <c r="AC310" s="781"/>
      <c r="AD310" s="782"/>
      <c r="AE310" s="783"/>
      <c r="AF310" s="784"/>
      <c r="AG310" s="783"/>
      <c r="AH310" s="957"/>
      <c r="AI310" s="916" t="s">
        <v>1336</v>
      </c>
    </row>
    <row r="311" spans="1:35" ht="51.75" x14ac:dyDescent="0.25">
      <c r="A311" s="110" t="s">
        <v>1337</v>
      </c>
      <c r="B311" s="111" t="s">
        <v>40</v>
      </c>
      <c r="C311" s="111" t="s">
        <v>1268</v>
      </c>
      <c r="D311" s="111" t="s">
        <v>1338</v>
      </c>
      <c r="E311" s="111"/>
      <c r="F311" s="112" t="s">
        <v>1339</v>
      </c>
      <c r="G311" s="113" t="s">
        <v>1262</v>
      </c>
      <c r="H311" s="110"/>
      <c r="I311" s="111"/>
      <c r="J311" s="210"/>
      <c r="K311" s="250">
        <v>7</v>
      </c>
      <c r="L311" s="251" t="s">
        <v>183</v>
      </c>
      <c r="M311" s="255">
        <f>(1051917/5000)-K311</f>
        <v>203.38339999999999</v>
      </c>
      <c r="N311" s="256">
        <f>150273/5000</f>
        <v>30.054600000000001</v>
      </c>
      <c r="O311" s="255">
        <f>(1051917/2000)-K311</f>
        <v>518.95849999999996</v>
      </c>
      <c r="P311" s="257">
        <f>150273/2000</f>
        <v>75.136499999999998</v>
      </c>
      <c r="Q311" s="418">
        <v>5</v>
      </c>
      <c r="R311" s="419" t="s">
        <v>154</v>
      </c>
      <c r="S311" s="425">
        <f>(578592/5000)-Q311</f>
        <v>110.7184</v>
      </c>
      <c r="T311" s="426">
        <f>115718/5000</f>
        <v>23.143599999999999</v>
      </c>
      <c r="U311" s="425">
        <f>(578592/2000)-Q311</f>
        <v>284.29599999999999</v>
      </c>
      <c r="V311" s="427">
        <f>115718/2000</f>
        <v>57.859000000000002</v>
      </c>
      <c r="W311" s="597">
        <v>2</v>
      </c>
      <c r="X311" s="598" t="s">
        <v>148</v>
      </c>
      <c r="Y311" s="604">
        <f>(189789/5000)-W311</f>
        <v>35.957799999999999</v>
      </c>
      <c r="Z311" s="605">
        <f>94894/5000</f>
        <v>18.9788</v>
      </c>
      <c r="AA311" s="604">
        <f>(189789/2000)-W311</f>
        <v>92.894499999999994</v>
      </c>
      <c r="AB311" s="606">
        <f>94894/2000</f>
        <v>47.447000000000003</v>
      </c>
      <c r="AC311" s="796">
        <v>0</v>
      </c>
      <c r="AD311" s="782" t="s">
        <v>61</v>
      </c>
      <c r="AE311" s="787">
        <f>(263509/5000)-AC311</f>
        <v>52.701799999999999</v>
      </c>
      <c r="AF311" s="788" t="s">
        <v>61</v>
      </c>
      <c r="AG311" s="787">
        <f>(263509/2000)-AC311</f>
        <v>131.75450000000001</v>
      </c>
      <c r="AH311" s="889" t="s">
        <v>61</v>
      </c>
      <c r="AI311" s="931"/>
    </row>
    <row r="312" spans="1:35" ht="39" x14ac:dyDescent="0.25">
      <c r="A312" s="37" t="s">
        <v>1340</v>
      </c>
      <c r="B312" s="38" t="s">
        <v>40</v>
      </c>
      <c r="C312" s="38" t="s">
        <v>1268</v>
      </c>
      <c r="D312" s="38" t="s">
        <v>1338</v>
      </c>
      <c r="E312" s="38"/>
      <c r="F312" s="39" t="s">
        <v>1338</v>
      </c>
      <c r="G312" s="40" t="s">
        <v>1338</v>
      </c>
      <c r="H312" s="37"/>
      <c r="I312" s="38"/>
      <c r="J312" s="210"/>
      <c r="K312" s="250">
        <v>77</v>
      </c>
      <c r="L312" s="251" t="s">
        <v>1341</v>
      </c>
      <c r="M312" s="255">
        <f>(1051917/5000)-K312</f>
        <v>133.38339999999999</v>
      </c>
      <c r="N312" s="256">
        <f>13661/5000</f>
        <v>2.7322000000000002</v>
      </c>
      <c r="O312" s="255">
        <f>(1051917/2000)-K312</f>
        <v>448.95849999999996</v>
      </c>
      <c r="P312" s="257">
        <f>13661/2000</f>
        <v>6.8304999999999998</v>
      </c>
      <c r="Q312" s="418">
        <v>45</v>
      </c>
      <c r="R312" s="419" t="s">
        <v>1342</v>
      </c>
      <c r="S312" s="425">
        <f>(578592/5000)-Q312</f>
        <v>70.718400000000003</v>
      </c>
      <c r="T312" s="426">
        <f>12857/5000</f>
        <v>2.5714000000000001</v>
      </c>
      <c r="U312" s="425">
        <f>(578592/2000)-Q312</f>
        <v>244.29599999999999</v>
      </c>
      <c r="V312" s="427">
        <f>12857/2000</f>
        <v>6.4284999999999997</v>
      </c>
      <c r="W312" s="597">
        <v>17</v>
      </c>
      <c r="X312" s="598" t="s">
        <v>123</v>
      </c>
      <c r="Y312" s="604">
        <f>(189789/5000)-W312</f>
        <v>20.957799999999999</v>
      </c>
      <c r="Z312" s="605">
        <f>11164/5000</f>
        <v>2.2328000000000001</v>
      </c>
      <c r="AA312" s="604">
        <f>(189789/2000)-W312</f>
        <v>77.894499999999994</v>
      </c>
      <c r="AB312" s="606">
        <f>11164/2000</f>
        <v>5.5819999999999999</v>
      </c>
      <c r="AC312" s="781">
        <v>15</v>
      </c>
      <c r="AD312" s="782" t="s">
        <v>634</v>
      </c>
      <c r="AE312" s="787">
        <f>(263509/5000)-AC312</f>
        <v>37.701799999999999</v>
      </c>
      <c r="AF312" s="788">
        <f>17567/5000</f>
        <v>3.5133999999999999</v>
      </c>
      <c r="AG312" s="787">
        <f>(263509/2000)-AC312</f>
        <v>116.75450000000001</v>
      </c>
      <c r="AH312" s="889">
        <f>17567/2000</f>
        <v>8.7835000000000001</v>
      </c>
      <c r="AI312" s="917"/>
    </row>
    <row r="313" spans="1:35" ht="30" x14ac:dyDescent="0.25">
      <c r="A313" s="41" t="s">
        <v>1340</v>
      </c>
      <c r="B313" s="42" t="s">
        <v>40</v>
      </c>
      <c r="C313" s="42" t="s">
        <v>1268</v>
      </c>
      <c r="D313" s="42" t="s">
        <v>1338</v>
      </c>
      <c r="E313" s="42"/>
      <c r="F313" s="43" t="s">
        <v>72</v>
      </c>
      <c r="G313" s="44" t="s">
        <v>1338</v>
      </c>
      <c r="H313" s="116" t="s">
        <v>1343</v>
      </c>
      <c r="I313" s="117" t="s">
        <v>1278</v>
      </c>
      <c r="J313" s="211"/>
      <c r="K313" s="261">
        <v>84</v>
      </c>
      <c r="L313" s="262" t="s">
        <v>1344</v>
      </c>
      <c r="M313" s="266">
        <f>(1051917/5000)-K313</f>
        <v>126.38339999999999</v>
      </c>
      <c r="N313" s="267">
        <f>12523/5000</f>
        <v>2.5045999999999999</v>
      </c>
      <c r="O313" s="266">
        <f>(1051917/2000)-K313</f>
        <v>441.95849999999996</v>
      </c>
      <c r="P313" s="268">
        <f>12523/2000</f>
        <v>6.2614999999999998</v>
      </c>
      <c r="Q313" s="431">
        <v>50</v>
      </c>
      <c r="R313" s="432" t="s">
        <v>1345</v>
      </c>
      <c r="S313" s="442">
        <f>(578592/5000)-Q313</f>
        <v>65.718400000000003</v>
      </c>
      <c r="T313" s="443">
        <f>11572/5000</f>
        <v>2.3144</v>
      </c>
      <c r="U313" s="442">
        <f>(578592/2000)-Q313</f>
        <v>239.29599999999999</v>
      </c>
      <c r="V313" s="444">
        <f>11572/2000</f>
        <v>5.7859999999999996</v>
      </c>
      <c r="W313" s="611">
        <v>19</v>
      </c>
      <c r="X313" s="612" t="s">
        <v>1346</v>
      </c>
      <c r="Y313" s="627">
        <f>(189789/5000)-W313</f>
        <v>18.957799999999999</v>
      </c>
      <c r="Z313" s="642">
        <f>9989/5000</f>
        <v>1.9978</v>
      </c>
      <c r="AA313" s="627">
        <f>(189789/2000)-W313</f>
        <v>75.894499999999994</v>
      </c>
      <c r="AB313" s="643">
        <f>9989/2000</f>
        <v>4.9945000000000004</v>
      </c>
      <c r="AC313" s="792">
        <v>15</v>
      </c>
      <c r="AD313" s="793" t="s">
        <v>634</v>
      </c>
      <c r="AE313" s="799">
        <f>(263509/5000)-AC313</f>
        <v>37.701799999999999</v>
      </c>
      <c r="AF313" s="800">
        <f>17567/5000</f>
        <v>3.5133999999999999</v>
      </c>
      <c r="AG313" s="801">
        <f>(263509/2000)-AC313</f>
        <v>116.75450000000001</v>
      </c>
      <c r="AH313" s="962">
        <f>17567/2000</f>
        <v>8.7835000000000001</v>
      </c>
      <c r="AI313" s="918"/>
    </row>
    <row r="314" spans="1:35" ht="64.5" x14ac:dyDescent="0.25">
      <c r="A314" s="32" t="s">
        <v>1347</v>
      </c>
      <c r="B314" s="33" t="s">
        <v>40</v>
      </c>
      <c r="C314" s="33" t="s">
        <v>1268</v>
      </c>
      <c r="D314" s="33" t="s">
        <v>1348</v>
      </c>
      <c r="E314" s="33"/>
      <c r="F314" s="34" t="s">
        <v>1291</v>
      </c>
      <c r="G314" s="35" t="s">
        <v>1348</v>
      </c>
      <c r="H314" s="32" t="s">
        <v>1349</v>
      </c>
      <c r="I314" s="33" t="s">
        <v>89</v>
      </c>
      <c r="J314" s="210"/>
      <c r="K314" s="250"/>
      <c r="L314" s="251"/>
      <c r="M314" s="252"/>
      <c r="N314" s="253"/>
      <c r="O314" s="252"/>
      <c r="P314" s="254"/>
      <c r="Q314" s="418"/>
      <c r="R314" s="419"/>
      <c r="S314" s="420"/>
      <c r="T314" s="421"/>
      <c r="U314" s="420"/>
      <c r="V314" s="422"/>
      <c r="W314" s="597"/>
      <c r="X314" s="598"/>
      <c r="Y314" s="599"/>
      <c r="Z314" s="600"/>
      <c r="AA314" s="599"/>
      <c r="AB314" s="601"/>
      <c r="AC314" s="781"/>
      <c r="AD314" s="782"/>
      <c r="AE314" s="783"/>
      <c r="AF314" s="784"/>
      <c r="AG314" s="783"/>
      <c r="AH314" s="957"/>
      <c r="AI314" s="916" t="s">
        <v>1350</v>
      </c>
    </row>
    <row r="315" spans="1:35" ht="64.5" x14ac:dyDescent="0.25">
      <c r="A315" s="32" t="s">
        <v>1351</v>
      </c>
      <c r="B315" s="33" t="s">
        <v>40</v>
      </c>
      <c r="C315" s="33" t="s">
        <v>1268</v>
      </c>
      <c r="D315" s="33" t="s">
        <v>1352</v>
      </c>
      <c r="E315" s="33"/>
      <c r="F315" s="34" t="s">
        <v>1291</v>
      </c>
      <c r="G315" s="35" t="s">
        <v>1352</v>
      </c>
      <c r="H315" s="32" t="s">
        <v>103</v>
      </c>
      <c r="I315" s="33" t="s">
        <v>89</v>
      </c>
      <c r="J315" s="210"/>
      <c r="K315" s="250"/>
      <c r="L315" s="251"/>
      <c r="M315" s="252"/>
      <c r="N315" s="253"/>
      <c r="O315" s="252"/>
      <c r="P315" s="254"/>
      <c r="Q315" s="418"/>
      <c r="R315" s="419"/>
      <c r="S315" s="420"/>
      <c r="T315" s="421"/>
      <c r="U315" s="420"/>
      <c r="V315" s="422"/>
      <c r="W315" s="597"/>
      <c r="X315" s="598"/>
      <c r="Y315" s="599"/>
      <c r="Z315" s="600"/>
      <c r="AA315" s="599"/>
      <c r="AB315" s="601"/>
      <c r="AC315" s="781"/>
      <c r="AD315" s="782"/>
      <c r="AE315" s="783"/>
      <c r="AF315" s="784"/>
      <c r="AG315" s="783"/>
      <c r="AH315" s="957"/>
      <c r="AI315" s="916" t="s">
        <v>1353</v>
      </c>
    </row>
    <row r="316" spans="1:35" ht="39" x14ac:dyDescent="0.25">
      <c r="A316" s="18" t="s">
        <v>1354</v>
      </c>
      <c r="B316" s="19" t="s">
        <v>40</v>
      </c>
      <c r="C316" s="19" t="s">
        <v>1268</v>
      </c>
      <c r="D316" s="19" t="s">
        <v>1355</v>
      </c>
      <c r="E316" s="19" t="s">
        <v>1297</v>
      </c>
      <c r="F316" s="20"/>
      <c r="G316" s="21" t="s">
        <v>1356</v>
      </c>
      <c r="H316" s="18" t="s">
        <v>1357</v>
      </c>
      <c r="I316" s="19" t="s">
        <v>432</v>
      </c>
      <c r="J316" s="210"/>
      <c r="K316" s="250"/>
      <c r="L316" s="251"/>
      <c r="M316" s="252"/>
      <c r="N316" s="253"/>
      <c r="O316" s="252"/>
      <c r="P316" s="254"/>
      <c r="Q316" s="418"/>
      <c r="R316" s="419"/>
      <c r="S316" s="420"/>
      <c r="T316" s="421"/>
      <c r="U316" s="420"/>
      <c r="V316" s="422"/>
      <c r="W316" s="597"/>
      <c r="X316" s="598"/>
      <c r="Y316" s="599"/>
      <c r="Z316" s="600"/>
      <c r="AA316" s="599"/>
      <c r="AB316" s="601"/>
      <c r="AC316" s="781"/>
      <c r="AD316" s="782"/>
      <c r="AE316" s="783"/>
      <c r="AF316" s="784"/>
      <c r="AG316" s="783"/>
      <c r="AH316" s="957"/>
      <c r="AI316" s="913" t="s">
        <v>1358</v>
      </c>
    </row>
    <row r="317" spans="1:35" ht="26.25" x14ac:dyDescent="0.25">
      <c r="A317" s="18" t="s">
        <v>1359</v>
      </c>
      <c r="B317" s="19" t="s">
        <v>40</v>
      </c>
      <c r="C317" s="19" t="s">
        <v>1268</v>
      </c>
      <c r="D317" s="19" t="s">
        <v>1355</v>
      </c>
      <c r="E317" s="19" t="s">
        <v>1360</v>
      </c>
      <c r="F317" s="20"/>
      <c r="G317" s="21" t="s">
        <v>1361</v>
      </c>
      <c r="H317" s="18" t="s">
        <v>1362</v>
      </c>
      <c r="I317" s="19" t="s">
        <v>432</v>
      </c>
      <c r="J317" s="210"/>
      <c r="K317" s="250"/>
      <c r="L317" s="251"/>
      <c r="M317" s="252"/>
      <c r="N317" s="253"/>
      <c r="O317" s="252"/>
      <c r="P317" s="254"/>
      <c r="Q317" s="418"/>
      <c r="R317" s="419"/>
      <c r="S317" s="420"/>
      <c r="T317" s="421"/>
      <c r="U317" s="420"/>
      <c r="V317" s="422"/>
      <c r="W317" s="597"/>
      <c r="X317" s="598"/>
      <c r="Y317" s="599"/>
      <c r="Z317" s="600"/>
      <c r="AA317" s="599"/>
      <c r="AB317" s="601"/>
      <c r="AC317" s="781"/>
      <c r="AD317" s="782"/>
      <c r="AE317" s="783"/>
      <c r="AF317" s="784"/>
      <c r="AG317" s="783"/>
      <c r="AH317" s="957"/>
      <c r="AI317" s="913" t="s">
        <v>1363</v>
      </c>
    </row>
    <row r="318" spans="1:35" ht="26.25" x14ac:dyDescent="0.25">
      <c r="A318" s="18" t="s">
        <v>1364</v>
      </c>
      <c r="B318" s="19" t="s">
        <v>40</v>
      </c>
      <c r="C318" s="19" t="s">
        <v>1268</v>
      </c>
      <c r="D318" s="19" t="s">
        <v>1355</v>
      </c>
      <c r="E318" s="19" t="s">
        <v>1287</v>
      </c>
      <c r="F318" s="20"/>
      <c r="G318" s="21" t="s">
        <v>1365</v>
      </c>
      <c r="H318" s="18" t="s">
        <v>1366</v>
      </c>
      <c r="I318" s="19" t="s">
        <v>1278</v>
      </c>
      <c r="J318" s="210"/>
      <c r="K318" s="250"/>
      <c r="L318" s="251"/>
      <c r="M318" s="252"/>
      <c r="N318" s="253"/>
      <c r="O318" s="252"/>
      <c r="P318" s="254"/>
      <c r="Q318" s="418"/>
      <c r="R318" s="419"/>
      <c r="S318" s="420"/>
      <c r="T318" s="421"/>
      <c r="U318" s="420"/>
      <c r="V318" s="422"/>
      <c r="W318" s="597"/>
      <c r="X318" s="598"/>
      <c r="Y318" s="599"/>
      <c r="Z318" s="600"/>
      <c r="AA318" s="599"/>
      <c r="AB318" s="601"/>
      <c r="AC318" s="781"/>
      <c r="AD318" s="782"/>
      <c r="AE318" s="783"/>
      <c r="AF318" s="784"/>
      <c r="AG318" s="783"/>
      <c r="AH318" s="957"/>
      <c r="AI318" s="913" t="s">
        <v>1367</v>
      </c>
    </row>
    <row r="319" spans="1:35" ht="26.25" x14ac:dyDescent="0.25">
      <c r="A319" s="18" t="s">
        <v>1368</v>
      </c>
      <c r="B319" s="19" t="s">
        <v>40</v>
      </c>
      <c r="C319" s="19" t="s">
        <v>1268</v>
      </c>
      <c r="D319" s="19" t="s">
        <v>1355</v>
      </c>
      <c r="E319" s="19" t="s">
        <v>1369</v>
      </c>
      <c r="F319" s="20"/>
      <c r="G319" s="21" t="s">
        <v>1370</v>
      </c>
      <c r="H319" s="18" t="s">
        <v>1371</v>
      </c>
      <c r="I319" s="19" t="s">
        <v>556</v>
      </c>
      <c r="J319" s="210"/>
      <c r="K319" s="250"/>
      <c r="L319" s="251"/>
      <c r="M319" s="252"/>
      <c r="N319" s="253"/>
      <c r="O319" s="252"/>
      <c r="P319" s="254"/>
      <c r="Q319" s="418"/>
      <c r="R319" s="419"/>
      <c r="S319" s="420"/>
      <c r="T319" s="421"/>
      <c r="U319" s="420"/>
      <c r="V319" s="422"/>
      <c r="W319" s="597"/>
      <c r="X319" s="598"/>
      <c r="Y319" s="599"/>
      <c r="Z319" s="600"/>
      <c r="AA319" s="599"/>
      <c r="AB319" s="601"/>
      <c r="AC319" s="781"/>
      <c r="AD319" s="782"/>
      <c r="AE319" s="783"/>
      <c r="AF319" s="784"/>
      <c r="AG319" s="783"/>
      <c r="AH319" s="957"/>
      <c r="AI319" s="913" t="s">
        <v>1372</v>
      </c>
    </row>
    <row r="320" spans="1:35" ht="26.25" x14ac:dyDescent="0.25">
      <c r="A320" s="18" t="s">
        <v>1373</v>
      </c>
      <c r="B320" s="19" t="s">
        <v>40</v>
      </c>
      <c r="C320" s="19" t="s">
        <v>1268</v>
      </c>
      <c r="D320" s="19" t="s">
        <v>1355</v>
      </c>
      <c r="E320" s="19" t="s">
        <v>1374</v>
      </c>
      <c r="F320" s="20"/>
      <c r="G320" s="21" t="s">
        <v>1375</v>
      </c>
      <c r="H320" s="18" t="s">
        <v>1376</v>
      </c>
      <c r="I320" s="19" t="s">
        <v>556</v>
      </c>
      <c r="J320" s="210"/>
      <c r="K320" s="250"/>
      <c r="L320" s="251"/>
      <c r="M320" s="252"/>
      <c r="N320" s="253"/>
      <c r="O320" s="252"/>
      <c r="P320" s="254"/>
      <c r="Q320" s="418"/>
      <c r="R320" s="419"/>
      <c r="S320" s="420"/>
      <c r="T320" s="421"/>
      <c r="U320" s="420"/>
      <c r="V320" s="422"/>
      <c r="W320" s="597"/>
      <c r="X320" s="598"/>
      <c r="Y320" s="599"/>
      <c r="Z320" s="600"/>
      <c r="AA320" s="599"/>
      <c r="AB320" s="601"/>
      <c r="AC320" s="781"/>
      <c r="AD320" s="782"/>
      <c r="AE320" s="783"/>
      <c r="AF320" s="784"/>
      <c r="AG320" s="783"/>
      <c r="AH320" s="957"/>
      <c r="AI320" s="913" t="s">
        <v>1377</v>
      </c>
    </row>
    <row r="321" spans="1:35" ht="26.25" x14ac:dyDescent="0.25">
      <c r="A321" s="18" t="s">
        <v>1378</v>
      </c>
      <c r="B321" s="19" t="s">
        <v>40</v>
      </c>
      <c r="C321" s="19" t="s">
        <v>1268</v>
      </c>
      <c r="D321" s="19" t="s">
        <v>1355</v>
      </c>
      <c r="E321" s="19" t="s">
        <v>1379</v>
      </c>
      <c r="F321" s="20"/>
      <c r="G321" s="21" t="s">
        <v>1380</v>
      </c>
      <c r="H321" s="18" t="s">
        <v>1381</v>
      </c>
      <c r="I321" s="19" t="s">
        <v>556</v>
      </c>
      <c r="J321" s="210"/>
      <c r="K321" s="250"/>
      <c r="L321" s="251"/>
      <c r="M321" s="252"/>
      <c r="N321" s="253"/>
      <c r="O321" s="252"/>
      <c r="P321" s="254"/>
      <c r="Q321" s="418"/>
      <c r="R321" s="419"/>
      <c r="S321" s="420"/>
      <c r="T321" s="421"/>
      <c r="U321" s="420"/>
      <c r="V321" s="422"/>
      <c r="W321" s="597"/>
      <c r="X321" s="598"/>
      <c r="Y321" s="599"/>
      <c r="Z321" s="600"/>
      <c r="AA321" s="599"/>
      <c r="AB321" s="601"/>
      <c r="AC321" s="781"/>
      <c r="AD321" s="782"/>
      <c r="AE321" s="783"/>
      <c r="AF321" s="784"/>
      <c r="AG321" s="783"/>
      <c r="AH321" s="957"/>
      <c r="AI321" s="913" t="s">
        <v>1367</v>
      </c>
    </row>
    <row r="322" spans="1:35" ht="26.25" x14ac:dyDescent="0.25">
      <c r="A322" s="106" t="s">
        <v>1382</v>
      </c>
      <c r="B322" s="107" t="s">
        <v>40</v>
      </c>
      <c r="C322" s="107" t="s">
        <v>1268</v>
      </c>
      <c r="D322" s="107" t="s">
        <v>1355</v>
      </c>
      <c r="E322" s="107" t="s">
        <v>1383</v>
      </c>
      <c r="F322" s="108"/>
      <c r="G322" s="109" t="s">
        <v>1384</v>
      </c>
      <c r="H322" s="106" t="s">
        <v>1357</v>
      </c>
      <c r="I322" s="107" t="s">
        <v>432</v>
      </c>
      <c r="J322" s="219"/>
      <c r="K322" s="318"/>
      <c r="L322" s="319"/>
      <c r="M322" s="295"/>
      <c r="N322" s="296"/>
      <c r="O322" s="295"/>
      <c r="P322" s="297"/>
      <c r="Q322" s="490"/>
      <c r="R322" s="491"/>
      <c r="S322" s="467"/>
      <c r="T322" s="468"/>
      <c r="U322" s="467"/>
      <c r="V322" s="469"/>
      <c r="W322" s="677"/>
      <c r="X322" s="678"/>
      <c r="Y322" s="654"/>
      <c r="Z322" s="655"/>
      <c r="AA322" s="654"/>
      <c r="AB322" s="656"/>
      <c r="AC322" s="840"/>
      <c r="AD322" s="841"/>
      <c r="AE322" s="822"/>
      <c r="AF322" s="823"/>
      <c r="AG322" s="822"/>
      <c r="AH322" s="970"/>
      <c r="AI322" s="930" t="s">
        <v>1385</v>
      </c>
    </row>
    <row r="323" spans="1:35" ht="26.25" x14ac:dyDescent="0.25">
      <c r="A323" s="18" t="s">
        <v>1386</v>
      </c>
      <c r="B323" s="19" t="s">
        <v>40</v>
      </c>
      <c r="C323" s="19" t="s">
        <v>1268</v>
      </c>
      <c r="D323" s="19" t="s">
        <v>1355</v>
      </c>
      <c r="E323" s="19" t="s">
        <v>1387</v>
      </c>
      <c r="F323" s="20"/>
      <c r="G323" s="21" t="s">
        <v>1388</v>
      </c>
      <c r="H323" s="18" t="s">
        <v>1389</v>
      </c>
      <c r="I323" s="19" t="s">
        <v>83</v>
      </c>
      <c r="J323" s="210"/>
      <c r="K323" s="250"/>
      <c r="L323" s="251"/>
      <c r="M323" s="252"/>
      <c r="N323" s="253"/>
      <c r="O323" s="252"/>
      <c r="P323" s="254"/>
      <c r="Q323" s="418"/>
      <c r="R323" s="419"/>
      <c r="S323" s="420"/>
      <c r="T323" s="421"/>
      <c r="U323" s="420"/>
      <c r="V323" s="422"/>
      <c r="W323" s="597"/>
      <c r="X323" s="598"/>
      <c r="Y323" s="599"/>
      <c r="Z323" s="600"/>
      <c r="AA323" s="599"/>
      <c r="AB323" s="601"/>
      <c r="AC323" s="781"/>
      <c r="AD323" s="782"/>
      <c r="AE323" s="783"/>
      <c r="AF323" s="784"/>
      <c r="AG323" s="783"/>
      <c r="AH323" s="957"/>
      <c r="AI323" s="913" t="s">
        <v>1390</v>
      </c>
    </row>
    <row r="324" spans="1:35" ht="26.25" x14ac:dyDescent="0.25">
      <c r="A324" s="18" t="s">
        <v>1391</v>
      </c>
      <c r="B324" s="19" t="s">
        <v>40</v>
      </c>
      <c r="C324" s="19" t="s">
        <v>1268</v>
      </c>
      <c r="D324" s="19" t="s">
        <v>1355</v>
      </c>
      <c r="E324" s="19" t="s">
        <v>1392</v>
      </c>
      <c r="F324" s="20"/>
      <c r="G324" s="21" t="s">
        <v>1393</v>
      </c>
      <c r="H324" s="18" t="s">
        <v>1357</v>
      </c>
      <c r="I324" s="19" t="s">
        <v>556</v>
      </c>
      <c r="J324" s="210"/>
      <c r="K324" s="250"/>
      <c r="L324" s="251"/>
      <c r="M324" s="252"/>
      <c r="N324" s="253"/>
      <c r="O324" s="252"/>
      <c r="P324" s="254"/>
      <c r="Q324" s="418"/>
      <c r="R324" s="419"/>
      <c r="S324" s="420"/>
      <c r="T324" s="421"/>
      <c r="U324" s="420"/>
      <c r="V324" s="422"/>
      <c r="W324" s="597"/>
      <c r="X324" s="598"/>
      <c r="Y324" s="599"/>
      <c r="Z324" s="600"/>
      <c r="AA324" s="599"/>
      <c r="AB324" s="601"/>
      <c r="AC324" s="781"/>
      <c r="AD324" s="782"/>
      <c r="AE324" s="783"/>
      <c r="AF324" s="784"/>
      <c r="AG324" s="783"/>
      <c r="AH324" s="957"/>
      <c r="AI324" s="913" t="s">
        <v>1394</v>
      </c>
    </row>
    <row r="325" spans="1:35" ht="26.25" x14ac:dyDescent="0.25">
      <c r="A325" s="18" t="s">
        <v>1395</v>
      </c>
      <c r="B325" s="19" t="s">
        <v>40</v>
      </c>
      <c r="C325" s="19" t="s">
        <v>1268</v>
      </c>
      <c r="D325" s="19" t="s">
        <v>1355</v>
      </c>
      <c r="E325" s="19" t="s">
        <v>1396</v>
      </c>
      <c r="F325" s="20"/>
      <c r="G325" s="21" t="s">
        <v>1397</v>
      </c>
      <c r="H325" s="18" t="s">
        <v>1045</v>
      </c>
      <c r="I325" s="19" t="s">
        <v>89</v>
      </c>
      <c r="J325" s="210"/>
      <c r="K325" s="250"/>
      <c r="L325" s="251"/>
      <c r="M325" s="252"/>
      <c r="N325" s="253"/>
      <c r="O325" s="252"/>
      <c r="P325" s="254"/>
      <c r="Q325" s="418"/>
      <c r="R325" s="419"/>
      <c r="S325" s="420"/>
      <c r="T325" s="421"/>
      <c r="U325" s="420"/>
      <c r="V325" s="422"/>
      <c r="W325" s="597"/>
      <c r="X325" s="598"/>
      <c r="Y325" s="599"/>
      <c r="Z325" s="600"/>
      <c r="AA325" s="599"/>
      <c r="AB325" s="601"/>
      <c r="AC325" s="781"/>
      <c r="AD325" s="782"/>
      <c r="AE325" s="783"/>
      <c r="AF325" s="784"/>
      <c r="AG325" s="783"/>
      <c r="AH325" s="957"/>
      <c r="AI325" s="913" t="s">
        <v>1367</v>
      </c>
    </row>
    <row r="326" spans="1:35" ht="26.25" x14ac:dyDescent="0.25">
      <c r="A326" s="18" t="s">
        <v>1398</v>
      </c>
      <c r="B326" s="19" t="s">
        <v>40</v>
      </c>
      <c r="C326" s="19" t="s">
        <v>1268</v>
      </c>
      <c r="D326" s="19" t="s">
        <v>1355</v>
      </c>
      <c r="E326" s="19" t="s">
        <v>1399</v>
      </c>
      <c r="F326" s="20"/>
      <c r="G326" s="21" t="s">
        <v>1400</v>
      </c>
      <c r="H326" s="18" t="s">
        <v>1357</v>
      </c>
      <c r="I326" s="19" t="s">
        <v>556</v>
      </c>
      <c r="J326" s="210"/>
      <c r="K326" s="250"/>
      <c r="L326" s="251"/>
      <c r="M326" s="252"/>
      <c r="N326" s="253"/>
      <c r="O326" s="252"/>
      <c r="P326" s="254"/>
      <c r="Q326" s="418"/>
      <c r="R326" s="419"/>
      <c r="S326" s="420"/>
      <c r="T326" s="421"/>
      <c r="U326" s="420"/>
      <c r="V326" s="422"/>
      <c r="W326" s="597"/>
      <c r="X326" s="598"/>
      <c r="Y326" s="599"/>
      <c r="Z326" s="600"/>
      <c r="AA326" s="599"/>
      <c r="AB326" s="601"/>
      <c r="AC326" s="781"/>
      <c r="AD326" s="782"/>
      <c r="AE326" s="783"/>
      <c r="AF326" s="784"/>
      <c r="AG326" s="783"/>
      <c r="AH326" s="957"/>
      <c r="AI326" s="913" t="s">
        <v>1401</v>
      </c>
    </row>
    <row r="327" spans="1:35" ht="26.25" x14ac:dyDescent="0.25">
      <c r="A327" s="18" t="s">
        <v>1402</v>
      </c>
      <c r="B327" s="19" t="s">
        <v>40</v>
      </c>
      <c r="C327" s="19" t="s">
        <v>1268</v>
      </c>
      <c r="D327" s="19" t="s">
        <v>1355</v>
      </c>
      <c r="E327" s="19" t="s">
        <v>1403</v>
      </c>
      <c r="F327" s="20"/>
      <c r="G327" s="21" t="s">
        <v>1404</v>
      </c>
      <c r="H327" s="18" t="s">
        <v>1357</v>
      </c>
      <c r="I327" s="19" t="s">
        <v>556</v>
      </c>
      <c r="J327" s="210"/>
      <c r="K327" s="250"/>
      <c r="L327" s="251"/>
      <c r="M327" s="252"/>
      <c r="N327" s="253"/>
      <c r="O327" s="252"/>
      <c r="P327" s="254"/>
      <c r="Q327" s="418"/>
      <c r="R327" s="419"/>
      <c r="S327" s="420"/>
      <c r="T327" s="421"/>
      <c r="U327" s="420"/>
      <c r="V327" s="422"/>
      <c r="W327" s="597"/>
      <c r="X327" s="598"/>
      <c r="Y327" s="599"/>
      <c r="Z327" s="600"/>
      <c r="AA327" s="599"/>
      <c r="AB327" s="601"/>
      <c r="AC327" s="781"/>
      <c r="AD327" s="782"/>
      <c r="AE327" s="783"/>
      <c r="AF327" s="784"/>
      <c r="AG327" s="783"/>
      <c r="AH327" s="957"/>
      <c r="AI327" s="913" t="s">
        <v>1405</v>
      </c>
    </row>
    <row r="328" spans="1:35" ht="26.25" x14ac:dyDescent="0.25">
      <c r="A328" s="18" t="s">
        <v>1406</v>
      </c>
      <c r="B328" s="19" t="s">
        <v>40</v>
      </c>
      <c r="C328" s="19" t="s">
        <v>1268</v>
      </c>
      <c r="D328" s="19" t="s">
        <v>1355</v>
      </c>
      <c r="E328" s="19" t="s">
        <v>1407</v>
      </c>
      <c r="F328" s="20"/>
      <c r="G328" s="21" t="s">
        <v>1408</v>
      </c>
      <c r="H328" s="18" t="s">
        <v>1357</v>
      </c>
      <c r="I328" s="19" t="s">
        <v>556</v>
      </c>
      <c r="J328" s="210"/>
      <c r="K328" s="250"/>
      <c r="L328" s="251"/>
      <c r="M328" s="252"/>
      <c r="N328" s="253"/>
      <c r="O328" s="252"/>
      <c r="P328" s="254"/>
      <c r="Q328" s="418"/>
      <c r="R328" s="419"/>
      <c r="S328" s="420"/>
      <c r="T328" s="421"/>
      <c r="U328" s="420"/>
      <c r="V328" s="422"/>
      <c r="W328" s="597"/>
      <c r="X328" s="598"/>
      <c r="Y328" s="599"/>
      <c r="Z328" s="600"/>
      <c r="AA328" s="599"/>
      <c r="AB328" s="601"/>
      <c r="AC328" s="781"/>
      <c r="AD328" s="782"/>
      <c r="AE328" s="783"/>
      <c r="AF328" s="784"/>
      <c r="AG328" s="783"/>
      <c r="AH328" s="957"/>
      <c r="AI328" s="913" t="s">
        <v>1409</v>
      </c>
    </row>
    <row r="329" spans="1:35" ht="39" x14ac:dyDescent="0.25">
      <c r="A329" s="18" t="s">
        <v>1410</v>
      </c>
      <c r="B329" s="19" t="s">
        <v>40</v>
      </c>
      <c r="C329" s="19" t="s">
        <v>1268</v>
      </c>
      <c r="D329" s="19" t="s">
        <v>1355</v>
      </c>
      <c r="E329" s="19" t="s">
        <v>1411</v>
      </c>
      <c r="F329" s="20"/>
      <c r="G329" s="21" t="s">
        <v>1412</v>
      </c>
      <c r="H329" s="18" t="s">
        <v>1413</v>
      </c>
      <c r="I329" s="19" t="s">
        <v>89</v>
      </c>
      <c r="J329" s="210"/>
      <c r="K329" s="250"/>
      <c r="L329" s="251"/>
      <c r="M329" s="252"/>
      <c r="N329" s="253"/>
      <c r="O329" s="252"/>
      <c r="P329" s="254"/>
      <c r="Q329" s="418"/>
      <c r="R329" s="419"/>
      <c r="S329" s="420"/>
      <c r="T329" s="421"/>
      <c r="U329" s="420"/>
      <c r="V329" s="422"/>
      <c r="W329" s="597"/>
      <c r="X329" s="598"/>
      <c r="Y329" s="599"/>
      <c r="Z329" s="600"/>
      <c r="AA329" s="599"/>
      <c r="AB329" s="601"/>
      <c r="AC329" s="781"/>
      <c r="AD329" s="782"/>
      <c r="AE329" s="783"/>
      <c r="AF329" s="784"/>
      <c r="AG329" s="783"/>
      <c r="AH329" s="957"/>
      <c r="AI329" s="913" t="s">
        <v>1414</v>
      </c>
    </row>
    <row r="330" spans="1:35" ht="39" x14ac:dyDescent="0.25">
      <c r="A330" s="106" t="s">
        <v>1415</v>
      </c>
      <c r="B330" s="107" t="s">
        <v>40</v>
      </c>
      <c r="C330" s="107" t="s">
        <v>1268</v>
      </c>
      <c r="D330" s="107" t="s">
        <v>1355</v>
      </c>
      <c r="E330" s="107" t="s">
        <v>1416</v>
      </c>
      <c r="F330" s="108"/>
      <c r="G330" s="109" t="s">
        <v>1417</v>
      </c>
      <c r="H330" s="106" t="s">
        <v>1418</v>
      </c>
      <c r="I330" s="107" t="s">
        <v>89</v>
      </c>
      <c r="J330" s="219"/>
      <c r="K330" s="318"/>
      <c r="L330" s="319"/>
      <c r="M330" s="295"/>
      <c r="N330" s="296"/>
      <c r="O330" s="295"/>
      <c r="P330" s="297"/>
      <c r="Q330" s="490"/>
      <c r="R330" s="491"/>
      <c r="S330" s="467"/>
      <c r="T330" s="468"/>
      <c r="U330" s="467"/>
      <c r="V330" s="469"/>
      <c r="W330" s="677"/>
      <c r="X330" s="678"/>
      <c r="Y330" s="654"/>
      <c r="Z330" s="655"/>
      <c r="AA330" s="654"/>
      <c r="AB330" s="656"/>
      <c r="AC330" s="840"/>
      <c r="AD330" s="841"/>
      <c r="AE330" s="822"/>
      <c r="AF330" s="823"/>
      <c r="AG330" s="822"/>
      <c r="AH330" s="970"/>
      <c r="AI330" s="930" t="s">
        <v>1385</v>
      </c>
    </row>
    <row r="331" spans="1:35" ht="26.25" x14ac:dyDescent="0.25">
      <c r="A331" s="18" t="s">
        <v>1419</v>
      </c>
      <c r="B331" s="19" t="s">
        <v>40</v>
      </c>
      <c r="C331" s="19" t="s">
        <v>1268</v>
      </c>
      <c r="D331" s="19" t="s">
        <v>1355</v>
      </c>
      <c r="E331" s="19" t="s">
        <v>1420</v>
      </c>
      <c r="F331" s="20"/>
      <c r="G331" s="21" t="s">
        <v>1421</v>
      </c>
      <c r="H331" s="18" t="s">
        <v>1422</v>
      </c>
      <c r="I331" s="19" t="s">
        <v>89</v>
      </c>
      <c r="J331" s="210"/>
      <c r="K331" s="250"/>
      <c r="L331" s="251"/>
      <c r="M331" s="252"/>
      <c r="N331" s="253"/>
      <c r="O331" s="252"/>
      <c r="P331" s="254"/>
      <c r="Q331" s="418"/>
      <c r="R331" s="419"/>
      <c r="S331" s="420"/>
      <c r="T331" s="421"/>
      <c r="U331" s="420"/>
      <c r="V331" s="422"/>
      <c r="W331" s="597"/>
      <c r="X331" s="598"/>
      <c r="Y331" s="599"/>
      <c r="Z331" s="600"/>
      <c r="AA331" s="599"/>
      <c r="AB331" s="601"/>
      <c r="AC331" s="781"/>
      <c r="AD331" s="782"/>
      <c r="AE331" s="783"/>
      <c r="AF331" s="784"/>
      <c r="AG331" s="783"/>
      <c r="AH331" s="957"/>
      <c r="AI331" s="913" t="s">
        <v>1423</v>
      </c>
    </row>
    <row r="332" spans="1:35" ht="26.25" x14ac:dyDescent="0.25">
      <c r="A332" s="18" t="s">
        <v>1424</v>
      </c>
      <c r="B332" s="19" t="s">
        <v>40</v>
      </c>
      <c r="C332" s="19" t="s">
        <v>1268</v>
      </c>
      <c r="D332" s="19" t="s">
        <v>1355</v>
      </c>
      <c r="E332" s="19" t="s">
        <v>1425</v>
      </c>
      <c r="F332" s="20"/>
      <c r="G332" s="21" t="s">
        <v>1426</v>
      </c>
      <c r="H332" s="18" t="s">
        <v>103</v>
      </c>
      <c r="I332" s="19" t="s">
        <v>89</v>
      </c>
      <c r="J332" s="210"/>
      <c r="K332" s="250"/>
      <c r="L332" s="251"/>
      <c r="M332" s="252"/>
      <c r="N332" s="253"/>
      <c r="O332" s="252"/>
      <c r="P332" s="254"/>
      <c r="Q332" s="418"/>
      <c r="R332" s="419"/>
      <c r="S332" s="420"/>
      <c r="T332" s="421"/>
      <c r="U332" s="420"/>
      <c r="V332" s="422"/>
      <c r="W332" s="597"/>
      <c r="X332" s="598"/>
      <c r="Y332" s="599"/>
      <c r="Z332" s="600"/>
      <c r="AA332" s="599"/>
      <c r="AB332" s="601"/>
      <c r="AC332" s="781"/>
      <c r="AD332" s="782"/>
      <c r="AE332" s="783"/>
      <c r="AF332" s="784"/>
      <c r="AG332" s="783"/>
      <c r="AH332" s="957"/>
      <c r="AI332" s="913" t="s">
        <v>1427</v>
      </c>
    </row>
    <row r="333" spans="1:35" ht="39" x14ac:dyDescent="0.25">
      <c r="A333" s="106" t="s">
        <v>1428</v>
      </c>
      <c r="B333" s="107" t="s">
        <v>40</v>
      </c>
      <c r="C333" s="107" t="s">
        <v>1268</v>
      </c>
      <c r="D333" s="107" t="s">
        <v>1355</v>
      </c>
      <c r="E333" s="107" t="s">
        <v>1429</v>
      </c>
      <c r="F333" s="108"/>
      <c r="G333" s="109" t="s">
        <v>1430</v>
      </c>
      <c r="H333" s="106" t="s">
        <v>1431</v>
      </c>
      <c r="I333" s="107" t="s">
        <v>556</v>
      </c>
      <c r="J333" s="219"/>
      <c r="K333" s="318"/>
      <c r="L333" s="319"/>
      <c r="M333" s="295"/>
      <c r="N333" s="296"/>
      <c r="O333" s="295"/>
      <c r="P333" s="297"/>
      <c r="Q333" s="490"/>
      <c r="R333" s="491"/>
      <c r="S333" s="467"/>
      <c r="T333" s="468"/>
      <c r="U333" s="467"/>
      <c r="V333" s="469"/>
      <c r="W333" s="677"/>
      <c r="X333" s="678"/>
      <c r="Y333" s="654"/>
      <c r="Z333" s="655"/>
      <c r="AA333" s="654"/>
      <c r="AB333" s="656"/>
      <c r="AC333" s="840"/>
      <c r="AD333" s="841"/>
      <c r="AE333" s="822"/>
      <c r="AF333" s="823"/>
      <c r="AG333" s="822"/>
      <c r="AH333" s="970"/>
      <c r="AI333" s="930" t="s">
        <v>1385</v>
      </c>
    </row>
    <row r="334" spans="1:35" ht="26.25" x14ac:dyDescent="0.25">
      <c r="A334" s="18" t="s">
        <v>1432</v>
      </c>
      <c r="B334" s="19" t="s">
        <v>40</v>
      </c>
      <c r="C334" s="19" t="s">
        <v>1268</v>
      </c>
      <c r="D334" s="19" t="s">
        <v>1355</v>
      </c>
      <c r="E334" s="19" t="s">
        <v>1433</v>
      </c>
      <c r="F334" s="20"/>
      <c r="G334" s="21" t="s">
        <v>1434</v>
      </c>
      <c r="H334" s="18" t="s">
        <v>1435</v>
      </c>
      <c r="I334" s="19" t="s">
        <v>89</v>
      </c>
      <c r="J334" s="210"/>
      <c r="K334" s="250"/>
      <c r="L334" s="251"/>
      <c r="M334" s="252"/>
      <c r="N334" s="253"/>
      <c r="O334" s="252"/>
      <c r="P334" s="254"/>
      <c r="Q334" s="418"/>
      <c r="R334" s="419"/>
      <c r="S334" s="420"/>
      <c r="T334" s="421"/>
      <c r="U334" s="420"/>
      <c r="V334" s="422"/>
      <c r="W334" s="597"/>
      <c r="X334" s="598"/>
      <c r="Y334" s="599"/>
      <c r="Z334" s="600"/>
      <c r="AA334" s="599"/>
      <c r="AB334" s="601"/>
      <c r="AC334" s="781"/>
      <c r="AD334" s="782"/>
      <c r="AE334" s="783"/>
      <c r="AF334" s="784"/>
      <c r="AG334" s="783"/>
      <c r="AH334" s="957"/>
      <c r="AI334" s="913" t="s">
        <v>1436</v>
      </c>
    </row>
    <row r="335" spans="1:35" ht="26.25" x14ac:dyDescent="0.25">
      <c r="A335" s="18" t="s">
        <v>1437</v>
      </c>
      <c r="B335" s="19" t="s">
        <v>40</v>
      </c>
      <c r="C335" s="19" t="s">
        <v>1268</v>
      </c>
      <c r="D335" s="19" t="s">
        <v>1355</v>
      </c>
      <c r="E335" s="19" t="s">
        <v>1321</v>
      </c>
      <c r="F335" s="20"/>
      <c r="G335" s="21" t="s">
        <v>1438</v>
      </c>
      <c r="H335" s="18" t="s">
        <v>1439</v>
      </c>
      <c r="I335" s="19" t="s">
        <v>1440</v>
      </c>
      <c r="J335" s="210"/>
      <c r="K335" s="250"/>
      <c r="L335" s="251"/>
      <c r="M335" s="252"/>
      <c r="N335" s="253"/>
      <c r="O335" s="252"/>
      <c r="P335" s="254"/>
      <c r="Q335" s="418"/>
      <c r="R335" s="419"/>
      <c r="S335" s="420"/>
      <c r="T335" s="421"/>
      <c r="U335" s="420"/>
      <c r="V335" s="422"/>
      <c r="W335" s="597"/>
      <c r="X335" s="598"/>
      <c r="Y335" s="599"/>
      <c r="Z335" s="600"/>
      <c r="AA335" s="599"/>
      <c r="AB335" s="601"/>
      <c r="AC335" s="781"/>
      <c r="AD335" s="782"/>
      <c r="AE335" s="783"/>
      <c r="AF335" s="784"/>
      <c r="AG335" s="783"/>
      <c r="AH335" s="957"/>
      <c r="AI335" s="913" t="s">
        <v>1436</v>
      </c>
    </row>
    <row r="336" spans="1:35" ht="26.25" x14ac:dyDescent="0.25">
      <c r="A336" s="106" t="s">
        <v>1441</v>
      </c>
      <c r="B336" s="107" t="s">
        <v>40</v>
      </c>
      <c r="C336" s="107" t="s">
        <v>1268</v>
      </c>
      <c r="D336" s="107" t="s">
        <v>1355</v>
      </c>
      <c r="E336" s="107" t="s">
        <v>1442</v>
      </c>
      <c r="F336" s="108"/>
      <c r="G336" s="109" t="s">
        <v>1443</v>
      </c>
      <c r="H336" s="106" t="s">
        <v>1444</v>
      </c>
      <c r="I336" s="107" t="s">
        <v>89</v>
      </c>
      <c r="J336" s="219"/>
      <c r="K336" s="318"/>
      <c r="L336" s="319"/>
      <c r="M336" s="295"/>
      <c r="N336" s="296"/>
      <c r="O336" s="295"/>
      <c r="P336" s="297"/>
      <c r="Q336" s="490"/>
      <c r="R336" s="491"/>
      <c r="S336" s="467"/>
      <c r="T336" s="468"/>
      <c r="U336" s="467"/>
      <c r="V336" s="469"/>
      <c r="W336" s="677"/>
      <c r="X336" s="678"/>
      <c r="Y336" s="654"/>
      <c r="Z336" s="655"/>
      <c r="AA336" s="654"/>
      <c r="AB336" s="656"/>
      <c r="AC336" s="840"/>
      <c r="AD336" s="841"/>
      <c r="AE336" s="822"/>
      <c r="AF336" s="823"/>
      <c r="AG336" s="822"/>
      <c r="AH336" s="970"/>
      <c r="AI336" s="930" t="s">
        <v>1385</v>
      </c>
    </row>
    <row r="337" spans="1:35" ht="30" x14ac:dyDescent="0.25">
      <c r="A337" s="27" t="s">
        <v>1445</v>
      </c>
      <c r="B337" s="28" t="s">
        <v>40</v>
      </c>
      <c r="C337" s="28" t="s">
        <v>1268</v>
      </c>
      <c r="D337" s="28" t="s">
        <v>1355</v>
      </c>
      <c r="E337" s="28"/>
      <c r="F337" s="29" t="s">
        <v>1355</v>
      </c>
      <c r="G337" s="30" t="s">
        <v>1355</v>
      </c>
      <c r="H337" s="27" t="s">
        <v>1446</v>
      </c>
      <c r="I337" s="28" t="s">
        <v>1278</v>
      </c>
      <c r="J337" s="211"/>
      <c r="K337" s="261">
        <v>494</v>
      </c>
      <c r="L337" s="262" t="s">
        <v>1447</v>
      </c>
      <c r="M337" s="283">
        <f>(1051917/5000)-K337</f>
        <v>-283.61660000000001</v>
      </c>
      <c r="N337" s="284">
        <f>2129/5000</f>
        <v>0.42580000000000001</v>
      </c>
      <c r="O337" s="283">
        <f>(1051917/2000)-K337</f>
        <v>31.958499999999958</v>
      </c>
      <c r="P337" s="285">
        <f>2129/2000</f>
        <v>1.0645</v>
      </c>
      <c r="Q337" s="431">
        <v>406</v>
      </c>
      <c r="R337" s="432" t="s">
        <v>1448</v>
      </c>
      <c r="S337" s="433">
        <f>(578592/5000)-Q337</f>
        <v>-290.28160000000003</v>
      </c>
      <c r="T337" s="434">
        <f>1425/5000</f>
        <v>0.28499999999999998</v>
      </c>
      <c r="U337" s="433">
        <f>(578592/2000)-Q337</f>
        <v>-116.70400000000001</v>
      </c>
      <c r="V337" s="435">
        <f>1425/2000</f>
        <v>0.71250000000000002</v>
      </c>
      <c r="W337" s="611">
        <v>23</v>
      </c>
      <c r="X337" s="612" t="s">
        <v>1449</v>
      </c>
      <c r="Y337" s="627">
        <f>(189789/5000)-W337</f>
        <v>14.957799999999999</v>
      </c>
      <c r="Z337" s="642">
        <f>8252/5000</f>
        <v>1.6504000000000001</v>
      </c>
      <c r="AA337" s="627">
        <f>(189789/2000)-W337</f>
        <v>71.894499999999994</v>
      </c>
      <c r="AB337" s="643">
        <f>8252/2000</f>
        <v>4.1260000000000003</v>
      </c>
      <c r="AC337" s="792">
        <v>65</v>
      </c>
      <c r="AD337" s="793" t="s">
        <v>1450</v>
      </c>
      <c r="AE337" s="806">
        <f>(263509/5000)-AC337</f>
        <v>-12.298200000000001</v>
      </c>
      <c r="AF337" s="807">
        <f>4054/5000</f>
        <v>0.81079999999999997</v>
      </c>
      <c r="AG337" s="806">
        <f>(263509/2000)-AC337</f>
        <v>66.754500000000007</v>
      </c>
      <c r="AH337" s="965">
        <f>4054/2000</f>
        <v>2.0270000000000001</v>
      </c>
      <c r="AI337" s="915" t="s">
        <v>1451</v>
      </c>
    </row>
    <row r="338" spans="1:35" ht="51.75" x14ac:dyDescent="0.25">
      <c r="A338" s="118" t="s">
        <v>1452</v>
      </c>
      <c r="B338" s="119" t="s">
        <v>40</v>
      </c>
      <c r="C338" s="119" t="s">
        <v>1268</v>
      </c>
      <c r="D338" s="119" t="s">
        <v>1453</v>
      </c>
      <c r="E338" s="119"/>
      <c r="F338" s="112" t="s">
        <v>1454</v>
      </c>
      <c r="G338" s="113" t="s">
        <v>1262</v>
      </c>
      <c r="H338" s="118" t="s">
        <v>1455</v>
      </c>
      <c r="I338" s="119" t="s">
        <v>432</v>
      </c>
      <c r="J338" s="214"/>
      <c r="K338" s="289">
        <v>30</v>
      </c>
      <c r="L338" s="290" t="s">
        <v>1456</v>
      </c>
      <c r="M338" s="255">
        <f>(1051917/20000)-K338</f>
        <v>22.595849999999999</v>
      </c>
      <c r="N338" s="256">
        <f>35084/20000</f>
        <v>1.7542</v>
      </c>
      <c r="O338" s="255">
        <f>(1051917/10000)-K338</f>
        <v>75.191699999999997</v>
      </c>
      <c r="P338" s="257">
        <f>35084/10000</f>
        <v>3.5084</v>
      </c>
      <c r="Q338" s="423">
        <v>27</v>
      </c>
      <c r="R338" s="424" t="s">
        <v>1457</v>
      </c>
      <c r="S338" s="425">
        <f>(578509/20000)-Q338</f>
        <v>1.9254500000000014</v>
      </c>
      <c r="T338" s="426">
        <f>21429/20000</f>
        <v>1.07145</v>
      </c>
      <c r="U338" s="425">
        <f>(578592/10000)-Q338</f>
        <v>30.859200000000001</v>
      </c>
      <c r="V338" s="427">
        <f>21429/10000</f>
        <v>2.1429</v>
      </c>
      <c r="W338" s="607">
        <v>1</v>
      </c>
      <c r="X338" s="603" t="s">
        <v>739</v>
      </c>
      <c r="Y338" s="604">
        <f>(189789/20000)-W338</f>
        <v>8.4894499999999997</v>
      </c>
      <c r="Z338" s="605">
        <f>189789/20000</f>
        <v>9.4894499999999997</v>
      </c>
      <c r="AA338" s="604">
        <f>(189789/10000)-W338</f>
        <v>17.978899999999999</v>
      </c>
      <c r="AB338" s="606">
        <f>189789/20000</f>
        <v>9.4894499999999997</v>
      </c>
      <c r="AC338" s="789">
        <v>2</v>
      </c>
      <c r="AD338" s="786" t="s">
        <v>1458</v>
      </c>
      <c r="AE338" s="787">
        <f>(263509/20000)-AC338</f>
        <v>11.17545</v>
      </c>
      <c r="AF338" s="788">
        <f>131755/20000</f>
        <v>6.5877499999999998</v>
      </c>
      <c r="AG338" s="787">
        <f>(263509/10000)-AC338</f>
        <v>24.350899999999999</v>
      </c>
      <c r="AH338" s="889">
        <f>131755/2000</f>
        <v>65.877499999999998</v>
      </c>
      <c r="AI338" s="932"/>
    </row>
    <row r="339" spans="1:35" ht="51.75" x14ac:dyDescent="0.25">
      <c r="A339" s="18" t="s">
        <v>1459</v>
      </c>
      <c r="B339" s="19" t="s">
        <v>40</v>
      </c>
      <c r="C339" s="19" t="s">
        <v>1268</v>
      </c>
      <c r="D339" s="19" t="s">
        <v>1460</v>
      </c>
      <c r="E339" s="19" t="s">
        <v>1287</v>
      </c>
      <c r="F339" s="20" t="s">
        <v>1461</v>
      </c>
      <c r="G339" s="21" t="s">
        <v>1462</v>
      </c>
      <c r="H339" s="18" t="s">
        <v>1463</v>
      </c>
      <c r="I339" s="19" t="s">
        <v>556</v>
      </c>
      <c r="J339" s="210"/>
      <c r="K339" s="250">
        <v>1174</v>
      </c>
      <c r="L339" s="251" t="s">
        <v>1464</v>
      </c>
      <c r="M339" s="286">
        <f>(1051917/2000)-K339</f>
        <v>-648.04150000000004</v>
      </c>
      <c r="N339" s="287">
        <f>896/2000</f>
        <v>0.44800000000000001</v>
      </c>
      <c r="O339" s="286">
        <f>(1051917/1000)-K339</f>
        <v>-122.08300000000008</v>
      </c>
      <c r="P339" s="288">
        <f>896/1000</f>
        <v>0.89600000000000002</v>
      </c>
      <c r="Q339" s="418">
        <v>711</v>
      </c>
      <c r="R339" s="419" t="s">
        <v>1465</v>
      </c>
      <c r="S339" s="492">
        <f>(578592/2000)-Q339</f>
        <v>-421.70400000000001</v>
      </c>
      <c r="T339" s="493">
        <f>814/2000</f>
        <v>0.40699999999999997</v>
      </c>
      <c r="U339" s="492">
        <f>(578592/1000)-Q339</f>
        <v>-132.40800000000002</v>
      </c>
      <c r="V339" s="494">
        <f>814/1000</f>
        <v>0.81399999999999995</v>
      </c>
      <c r="W339" s="597">
        <v>202</v>
      </c>
      <c r="X339" s="598" t="s">
        <v>1466</v>
      </c>
      <c r="Y339" s="647">
        <f>(189789/2000)-W339</f>
        <v>-107.10550000000001</v>
      </c>
      <c r="Z339" s="648">
        <f>940/2000</f>
        <v>0.47</v>
      </c>
      <c r="AA339" s="647">
        <f>(189789/1000)-W339</f>
        <v>-12.211000000000013</v>
      </c>
      <c r="AB339" s="649">
        <f>940/1000</f>
        <v>0.94</v>
      </c>
      <c r="AC339" s="781">
        <v>261</v>
      </c>
      <c r="AD339" s="782" t="s">
        <v>1467</v>
      </c>
      <c r="AE339" s="822">
        <f>(263509/2000)-AC339</f>
        <v>-129.24549999999999</v>
      </c>
      <c r="AF339" s="823">
        <f>1010/2000</f>
        <v>0.505</v>
      </c>
      <c r="AG339" s="822">
        <f>(263509/1000)-AC339</f>
        <v>2.5090000000000146</v>
      </c>
      <c r="AH339" s="970">
        <f>1010/1000</f>
        <v>1.01</v>
      </c>
      <c r="AI339" s="913" t="s">
        <v>1468</v>
      </c>
    </row>
    <row r="340" spans="1:35" ht="26.25" x14ac:dyDescent="0.25">
      <c r="A340" s="18" t="s">
        <v>1469</v>
      </c>
      <c r="B340" s="19" t="s">
        <v>40</v>
      </c>
      <c r="C340" s="19" t="s">
        <v>1268</v>
      </c>
      <c r="D340" s="19" t="s">
        <v>1460</v>
      </c>
      <c r="E340" s="19" t="s">
        <v>1321</v>
      </c>
      <c r="F340" s="20"/>
      <c r="G340" s="21" t="s">
        <v>1470</v>
      </c>
      <c r="H340" s="18" t="s">
        <v>1471</v>
      </c>
      <c r="I340" s="19" t="s">
        <v>83</v>
      </c>
      <c r="J340" s="210"/>
      <c r="K340" s="250"/>
      <c r="L340" s="251"/>
      <c r="M340" s="252"/>
      <c r="N340" s="253"/>
      <c r="O340" s="252"/>
      <c r="P340" s="254"/>
      <c r="Q340" s="418"/>
      <c r="R340" s="419"/>
      <c r="S340" s="420"/>
      <c r="T340" s="421"/>
      <c r="U340" s="420"/>
      <c r="V340" s="422"/>
      <c r="W340" s="597"/>
      <c r="X340" s="598"/>
      <c r="Y340" s="599"/>
      <c r="Z340" s="600"/>
      <c r="AA340" s="599"/>
      <c r="AB340" s="601"/>
      <c r="AC340" s="781"/>
      <c r="AD340" s="782"/>
      <c r="AE340" s="783"/>
      <c r="AF340" s="784"/>
      <c r="AG340" s="783"/>
      <c r="AH340" s="957"/>
      <c r="AI340" s="913"/>
    </row>
    <row r="341" spans="1:35" ht="51.75" x14ac:dyDescent="0.25">
      <c r="A341" s="110" t="s">
        <v>1472</v>
      </c>
      <c r="B341" s="111" t="s">
        <v>40</v>
      </c>
      <c r="C341" s="111" t="s">
        <v>1268</v>
      </c>
      <c r="D341" s="111" t="s">
        <v>1460</v>
      </c>
      <c r="E341" s="111"/>
      <c r="F341" s="112" t="s">
        <v>1473</v>
      </c>
      <c r="G341" s="113" t="s">
        <v>1262</v>
      </c>
      <c r="H341" s="110"/>
      <c r="I341" s="111" t="s">
        <v>556</v>
      </c>
      <c r="J341" s="210"/>
      <c r="K341" s="250">
        <v>269</v>
      </c>
      <c r="L341" s="251" t="s">
        <v>1474</v>
      </c>
      <c r="M341" s="279">
        <f>(1051917/2000)-K341</f>
        <v>256.95849999999996</v>
      </c>
      <c r="N341" s="280">
        <f>3910/2000</f>
        <v>1.9550000000000001</v>
      </c>
      <c r="O341" s="279">
        <f>(1051917/1000)-K341</f>
        <v>782.91699999999992</v>
      </c>
      <c r="P341" s="281">
        <f>3910/1000</f>
        <v>3.91</v>
      </c>
      <c r="Q341" s="418">
        <v>135</v>
      </c>
      <c r="R341" s="419" t="s">
        <v>1475</v>
      </c>
      <c r="S341" s="439">
        <f>(578592/2000)-Q341</f>
        <v>154.29599999999999</v>
      </c>
      <c r="T341" s="440">
        <f>4286/2000</f>
        <v>2.1429999999999998</v>
      </c>
      <c r="U341" s="439">
        <f>(578592/1000)-Q341</f>
        <v>443.59199999999998</v>
      </c>
      <c r="V341" s="441">
        <f>4286/1000</f>
        <v>4.2859999999999996</v>
      </c>
      <c r="W341" s="597">
        <v>69</v>
      </c>
      <c r="X341" s="598" t="s">
        <v>1476</v>
      </c>
      <c r="Y341" s="644">
        <f>(189789/2000)-W341</f>
        <v>25.894499999999994</v>
      </c>
      <c r="Z341" s="645">
        <f>2751/2000</f>
        <v>1.3754999999999999</v>
      </c>
      <c r="AA341" s="644">
        <f>(189789/1000)-W341</f>
        <v>120.78899999999999</v>
      </c>
      <c r="AB341" s="646">
        <f>2751/1000</f>
        <v>2.7509999999999999</v>
      </c>
      <c r="AC341" s="781">
        <v>65</v>
      </c>
      <c r="AD341" s="782" t="s">
        <v>1450</v>
      </c>
      <c r="AE341" s="804">
        <f>(263509/2000)-AC341</f>
        <v>66.754500000000007</v>
      </c>
      <c r="AF341" s="805">
        <f>4054/2000</f>
        <v>2.0270000000000001</v>
      </c>
      <c r="AG341" s="804">
        <f>(263509/1000)-AC341</f>
        <v>198.50900000000001</v>
      </c>
      <c r="AH341" s="964">
        <f>4054/1000</f>
        <v>4.0540000000000003</v>
      </c>
      <c r="AI341" s="931" t="s">
        <v>1477</v>
      </c>
    </row>
    <row r="342" spans="1:35" ht="51.75" x14ac:dyDescent="0.25">
      <c r="A342" s="110" t="s">
        <v>1478</v>
      </c>
      <c r="B342" s="111" t="s">
        <v>40</v>
      </c>
      <c r="C342" s="111" t="s">
        <v>1268</v>
      </c>
      <c r="D342" s="111" t="s">
        <v>1460</v>
      </c>
      <c r="E342" s="111"/>
      <c r="F342" s="112" t="s">
        <v>1479</v>
      </c>
      <c r="G342" s="113" t="s">
        <v>1262</v>
      </c>
      <c r="H342" s="110"/>
      <c r="I342" s="111" t="s">
        <v>556</v>
      </c>
      <c r="J342" s="210"/>
      <c r="K342" s="250">
        <v>826</v>
      </c>
      <c r="L342" s="251" t="s">
        <v>1480</v>
      </c>
      <c r="M342" s="295">
        <f>(1051917/2000)-K342</f>
        <v>-300.04150000000004</v>
      </c>
      <c r="N342" s="296">
        <f>1274/2000</f>
        <v>0.63700000000000001</v>
      </c>
      <c r="O342" s="295">
        <f>(1051917/1000)-K342</f>
        <v>225.91699999999992</v>
      </c>
      <c r="P342" s="297">
        <f>1274/1000</f>
        <v>1.274</v>
      </c>
      <c r="Q342" s="418">
        <v>518</v>
      </c>
      <c r="R342" s="419" t="s">
        <v>1481</v>
      </c>
      <c r="S342" s="467">
        <f>(578592/2000)-Q342</f>
        <v>-228.70400000000001</v>
      </c>
      <c r="T342" s="468">
        <f>1117/2000</f>
        <v>0.5585</v>
      </c>
      <c r="U342" s="467">
        <f>(578592/1000)-Q342</f>
        <v>60.591999999999985</v>
      </c>
      <c r="V342" s="469">
        <f>1117/1000</f>
        <v>1.117</v>
      </c>
      <c r="W342" s="597">
        <v>196</v>
      </c>
      <c r="X342" s="598" t="s">
        <v>1482</v>
      </c>
      <c r="Y342" s="647">
        <f>(189789/2000)-W342</f>
        <v>-101.10550000000001</v>
      </c>
      <c r="Z342" s="648">
        <f>968/2000</f>
        <v>0.48399999999999999</v>
      </c>
      <c r="AA342" s="647">
        <f>(189789/1000)-W342</f>
        <v>-6.2110000000000127</v>
      </c>
      <c r="AB342" s="649">
        <f>968/1000</f>
        <v>0.96799999999999997</v>
      </c>
      <c r="AC342" s="781">
        <v>112</v>
      </c>
      <c r="AD342" s="782" t="s">
        <v>1483</v>
      </c>
      <c r="AE342" s="804">
        <f>(263509/2000)-AC342</f>
        <v>19.754500000000007</v>
      </c>
      <c r="AF342" s="805">
        <f>2353/2000</f>
        <v>1.1765000000000001</v>
      </c>
      <c r="AG342" s="804">
        <f>(263509/1000)-AC342</f>
        <v>151.50900000000001</v>
      </c>
      <c r="AH342" s="964">
        <f>2353/1000</f>
        <v>2.3530000000000002</v>
      </c>
      <c r="AI342" s="931"/>
    </row>
    <row r="343" spans="1:35" ht="90" x14ac:dyDescent="0.25">
      <c r="A343" s="110" t="s">
        <v>1484</v>
      </c>
      <c r="B343" s="111" t="s">
        <v>40</v>
      </c>
      <c r="C343" s="111" t="s">
        <v>1268</v>
      </c>
      <c r="D343" s="111" t="s">
        <v>1460</v>
      </c>
      <c r="E343" s="111"/>
      <c r="F343" s="112" t="s">
        <v>1485</v>
      </c>
      <c r="G343" s="113" t="s">
        <v>1262</v>
      </c>
      <c r="H343" s="120"/>
      <c r="I343" s="121"/>
      <c r="J343" s="220"/>
      <c r="K343" s="320"/>
      <c r="L343" s="321"/>
      <c r="M343" s="322"/>
      <c r="N343" s="323"/>
      <c r="O343" s="322"/>
      <c r="P343" s="324"/>
      <c r="Q343" s="495"/>
      <c r="R343" s="496"/>
      <c r="S343" s="497"/>
      <c r="T343" s="498"/>
      <c r="U343" s="497"/>
      <c r="V343" s="499"/>
      <c r="W343" s="679"/>
      <c r="X343" s="680"/>
      <c r="Y343" s="681"/>
      <c r="Z343" s="682"/>
      <c r="AA343" s="681"/>
      <c r="AB343" s="683"/>
      <c r="AC343" s="842"/>
      <c r="AD343" s="843"/>
      <c r="AE343" s="844"/>
      <c r="AF343" s="845"/>
      <c r="AG343" s="844"/>
      <c r="AH343" s="975"/>
      <c r="AI343" s="933"/>
    </row>
    <row r="344" spans="1:35" ht="77.25" x14ac:dyDescent="0.25">
      <c r="A344" s="120" t="s">
        <v>1486</v>
      </c>
      <c r="B344" s="121" t="s">
        <v>40</v>
      </c>
      <c r="C344" s="121" t="s">
        <v>1268</v>
      </c>
      <c r="D344" s="121" t="s">
        <v>1487</v>
      </c>
      <c r="E344" s="121"/>
      <c r="F344" s="93" t="s">
        <v>1488</v>
      </c>
      <c r="G344" s="113" t="s">
        <v>1262</v>
      </c>
      <c r="H344" s="120"/>
      <c r="I344" s="121"/>
      <c r="J344" s="220"/>
      <c r="K344" s="320"/>
      <c r="L344" s="321"/>
      <c r="M344" s="322"/>
      <c r="N344" s="323"/>
      <c r="O344" s="322"/>
      <c r="P344" s="324"/>
      <c r="Q344" s="495"/>
      <c r="R344" s="496"/>
      <c r="S344" s="497"/>
      <c r="T344" s="498"/>
      <c r="U344" s="497"/>
      <c r="V344" s="499"/>
      <c r="W344" s="679"/>
      <c r="X344" s="680"/>
      <c r="Y344" s="681"/>
      <c r="Z344" s="682"/>
      <c r="AA344" s="681"/>
      <c r="AB344" s="683"/>
      <c r="AC344" s="842"/>
      <c r="AD344" s="843"/>
      <c r="AE344" s="844"/>
      <c r="AF344" s="845"/>
      <c r="AG344" s="844"/>
      <c r="AH344" s="975"/>
      <c r="AI344" s="933"/>
    </row>
    <row r="345" spans="1:35" ht="30.75" thickBot="1" x14ac:dyDescent="0.3">
      <c r="A345" s="86" t="s">
        <v>1489</v>
      </c>
      <c r="B345" s="87" t="s">
        <v>40</v>
      </c>
      <c r="C345" s="87" t="s">
        <v>1268</v>
      </c>
      <c r="D345" s="87" t="s">
        <v>1460</v>
      </c>
      <c r="E345" s="87"/>
      <c r="F345" s="88" t="s">
        <v>72</v>
      </c>
      <c r="G345" s="89" t="s">
        <v>1460</v>
      </c>
      <c r="H345" s="86" t="s">
        <v>1490</v>
      </c>
      <c r="I345" s="87" t="s">
        <v>556</v>
      </c>
      <c r="J345" s="215"/>
      <c r="K345" s="298">
        <v>2269</v>
      </c>
      <c r="L345" s="299" t="s">
        <v>1491</v>
      </c>
      <c r="M345" s="325">
        <f>(1051917/2000)-K345</f>
        <v>-1743.0415</v>
      </c>
      <c r="N345" s="326">
        <f>464/2000</f>
        <v>0.23200000000000001</v>
      </c>
      <c r="O345" s="325">
        <f>(1051917/1000)-K345</f>
        <v>-1217.0830000000001</v>
      </c>
      <c r="P345" s="327">
        <f>464/1000</f>
        <v>0.46400000000000002</v>
      </c>
      <c r="Q345" s="470">
        <v>1364</v>
      </c>
      <c r="R345" s="471" t="s">
        <v>1492</v>
      </c>
      <c r="S345" s="500">
        <f>(578592/2000)-Q345</f>
        <v>-1074.704</v>
      </c>
      <c r="T345" s="501">
        <f>424/2000</f>
        <v>0.21199999999999999</v>
      </c>
      <c r="U345" s="500">
        <f>(578592/1000)-Q345</f>
        <v>-785.40800000000002</v>
      </c>
      <c r="V345" s="502">
        <f>424/1000</f>
        <v>0.42399999999999999</v>
      </c>
      <c r="W345" s="657">
        <v>467</v>
      </c>
      <c r="X345" s="658" t="s">
        <v>1493</v>
      </c>
      <c r="Y345" s="684">
        <f>(189789/2000)-W345</f>
        <v>-372.10550000000001</v>
      </c>
      <c r="Z345" s="685">
        <f>406/2000</f>
        <v>0.20300000000000001</v>
      </c>
      <c r="AA345" s="684">
        <f>(189789/1000)-W345</f>
        <v>-277.21100000000001</v>
      </c>
      <c r="AB345" s="686">
        <f>406/1000</f>
        <v>0.40600000000000003</v>
      </c>
      <c r="AC345" s="824">
        <v>438</v>
      </c>
      <c r="AD345" s="825" t="s">
        <v>1494</v>
      </c>
      <c r="AE345" s="846">
        <f>(263509/2000)-AC345</f>
        <v>-306.24549999999999</v>
      </c>
      <c r="AF345" s="847">
        <f>602/2000</f>
        <v>0.30099999999999999</v>
      </c>
      <c r="AG345" s="846">
        <f>(263509/1000)-AC345</f>
        <v>-174.49099999999999</v>
      </c>
      <c r="AH345" s="976">
        <f>602/1000</f>
        <v>0.60199999999999998</v>
      </c>
      <c r="AI345" s="926"/>
    </row>
    <row r="346" spans="1:35" ht="26.25" x14ac:dyDescent="0.25">
      <c r="A346" s="13" t="s">
        <v>1495</v>
      </c>
      <c r="B346" s="14" t="s">
        <v>40</v>
      </c>
      <c r="C346" s="14" t="s">
        <v>1496</v>
      </c>
      <c r="D346" s="14" t="s">
        <v>1497</v>
      </c>
      <c r="E346" s="14" t="s">
        <v>341</v>
      </c>
      <c r="F346" s="15"/>
      <c r="G346" s="16" t="s">
        <v>1498</v>
      </c>
      <c r="H346" s="13"/>
      <c r="I346" s="122" t="s">
        <v>61</v>
      </c>
      <c r="J346" s="209"/>
      <c r="K346" s="245"/>
      <c r="L346" s="246"/>
      <c r="M346" s="247"/>
      <c r="N346" s="248"/>
      <c r="O346" s="247"/>
      <c r="P346" s="249"/>
      <c r="Q346" s="413"/>
      <c r="R346" s="414"/>
      <c r="S346" s="415"/>
      <c r="T346" s="416"/>
      <c r="U346" s="415"/>
      <c r="V346" s="417"/>
      <c r="W346" s="592"/>
      <c r="X346" s="593"/>
      <c r="Y346" s="594"/>
      <c r="Z346" s="595"/>
      <c r="AA346" s="594"/>
      <c r="AB346" s="596"/>
      <c r="AC346" s="777"/>
      <c r="AD346" s="778"/>
      <c r="AE346" s="779"/>
      <c r="AF346" s="780"/>
      <c r="AG346" s="779"/>
      <c r="AH346" s="956"/>
      <c r="AI346" s="912" t="s">
        <v>1499</v>
      </c>
    </row>
    <row r="347" spans="1:35" x14ac:dyDescent="0.25">
      <c r="A347" s="18" t="s">
        <v>1500</v>
      </c>
      <c r="B347" s="19" t="s">
        <v>40</v>
      </c>
      <c r="C347" s="19" t="s">
        <v>1496</v>
      </c>
      <c r="D347" s="19" t="s">
        <v>1497</v>
      </c>
      <c r="E347" s="19" t="s">
        <v>1501</v>
      </c>
      <c r="F347" s="20"/>
      <c r="G347" s="21" t="s">
        <v>1502</v>
      </c>
      <c r="H347" s="18"/>
      <c r="I347" s="123" t="s">
        <v>61</v>
      </c>
      <c r="J347" s="210"/>
      <c r="K347" s="250"/>
      <c r="L347" s="251"/>
      <c r="M347" s="252"/>
      <c r="N347" s="253"/>
      <c r="O347" s="252"/>
      <c r="P347" s="254"/>
      <c r="Q347" s="418"/>
      <c r="R347" s="419"/>
      <c r="S347" s="420"/>
      <c r="T347" s="421"/>
      <c r="U347" s="420"/>
      <c r="V347" s="422"/>
      <c r="W347" s="597"/>
      <c r="X347" s="598"/>
      <c r="Y347" s="599"/>
      <c r="Z347" s="600"/>
      <c r="AA347" s="599"/>
      <c r="AB347" s="601"/>
      <c r="AC347" s="781"/>
      <c r="AD347" s="782"/>
      <c r="AE347" s="783"/>
      <c r="AF347" s="784"/>
      <c r="AG347" s="783"/>
      <c r="AH347" s="957"/>
      <c r="AI347" s="913" t="s">
        <v>1503</v>
      </c>
    </row>
    <row r="348" spans="1:35" ht="39" x14ac:dyDescent="0.25">
      <c r="A348" s="18" t="s">
        <v>1504</v>
      </c>
      <c r="B348" s="19" t="s">
        <v>40</v>
      </c>
      <c r="C348" s="19" t="s">
        <v>1496</v>
      </c>
      <c r="D348" s="19" t="s">
        <v>1497</v>
      </c>
      <c r="E348" s="19" t="s">
        <v>1077</v>
      </c>
      <c r="F348" s="20"/>
      <c r="G348" s="21" t="s">
        <v>1505</v>
      </c>
      <c r="H348" s="18"/>
      <c r="I348" s="123" t="s">
        <v>109</v>
      </c>
      <c r="J348" s="210"/>
      <c r="K348" s="250"/>
      <c r="L348" s="251"/>
      <c r="M348" s="252"/>
      <c r="N348" s="253"/>
      <c r="O348" s="252"/>
      <c r="P348" s="254"/>
      <c r="Q348" s="418"/>
      <c r="R348" s="419"/>
      <c r="S348" s="420"/>
      <c r="T348" s="421"/>
      <c r="U348" s="420"/>
      <c r="V348" s="422"/>
      <c r="W348" s="597"/>
      <c r="X348" s="598"/>
      <c r="Y348" s="599"/>
      <c r="Z348" s="600"/>
      <c r="AA348" s="599"/>
      <c r="AB348" s="601"/>
      <c r="AC348" s="781"/>
      <c r="AD348" s="782"/>
      <c r="AE348" s="783"/>
      <c r="AF348" s="784"/>
      <c r="AG348" s="783"/>
      <c r="AH348" s="957"/>
      <c r="AI348" s="913" t="s">
        <v>1506</v>
      </c>
    </row>
    <row r="349" spans="1:35" ht="26.25" x14ac:dyDescent="0.25">
      <c r="A349" s="18" t="s">
        <v>1507</v>
      </c>
      <c r="B349" s="19" t="s">
        <v>40</v>
      </c>
      <c r="C349" s="19" t="s">
        <v>1496</v>
      </c>
      <c r="D349" s="19" t="s">
        <v>1497</v>
      </c>
      <c r="E349" s="19" t="s">
        <v>1508</v>
      </c>
      <c r="F349" s="20"/>
      <c r="G349" s="21" t="s">
        <v>1509</v>
      </c>
      <c r="H349" s="18"/>
      <c r="I349" s="123" t="s">
        <v>89</v>
      </c>
      <c r="J349" s="210"/>
      <c r="K349" s="250"/>
      <c r="L349" s="251"/>
      <c r="M349" s="252"/>
      <c r="N349" s="253"/>
      <c r="O349" s="252"/>
      <c r="P349" s="254"/>
      <c r="Q349" s="418"/>
      <c r="R349" s="419"/>
      <c r="S349" s="420"/>
      <c r="T349" s="421"/>
      <c r="U349" s="420"/>
      <c r="V349" s="422"/>
      <c r="W349" s="597"/>
      <c r="X349" s="598"/>
      <c r="Y349" s="599"/>
      <c r="Z349" s="600"/>
      <c r="AA349" s="599"/>
      <c r="AB349" s="601"/>
      <c r="AC349" s="781"/>
      <c r="AD349" s="782"/>
      <c r="AE349" s="783"/>
      <c r="AF349" s="784"/>
      <c r="AG349" s="783"/>
      <c r="AH349" s="957"/>
      <c r="AI349" s="913" t="s">
        <v>1503</v>
      </c>
    </row>
    <row r="350" spans="1:35" ht="26.25" x14ac:dyDescent="0.25">
      <c r="A350" s="18" t="s">
        <v>1510</v>
      </c>
      <c r="B350" s="19" t="s">
        <v>40</v>
      </c>
      <c r="C350" s="19" t="s">
        <v>1496</v>
      </c>
      <c r="D350" s="19" t="s">
        <v>1497</v>
      </c>
      <c r="E350" s="19" t="s">
        <v>1511</v>
      </c>
      <c r="F350" s="20"/>
      <c r="G350" s="21" t="s">
        <v>1512</v>
      </c>
      <c r="H350" s="18"/>
      <c r="I350" s="123" t="s">
        <v>61</v>
      </c>
      <c r="J350" s="210"/>
      <c r="K350" s="250"/>
      <c r="L350" s="251"/>
      <c r="M350" s="252"/>
      <c r="N350" s="253"/>
      <c r="O350" s="252"/>
      <c r="P350" s="254"/>
      <c r="Q350" s="418"/>
      <c r="R350" s="419"/>
      <c r="S350" s="420"/>
      <c r="T350" s="421"/>
      <c r="U350" s="420"/>
      <c r="V350" s="422"/>
      <c r="W350" s="597"/>
      <c r="X350" s="598"/>
      <c r="Y350" s="599"/>
      <c r="Z350" s="600"/>
      <c r="AA350" s="599"/>
      <c r="AB350" s="601"/>
      <c r="AC350" s="781"/>
      <c r="AD350" s="782"/>
      <c r="AE350" s="783"/>
      <c r="AF350" s="784"/>
      <c r="AG350" s="783"/>
      <c r="AH350" s="957"/>
      <c r="AI350" s="913" t="s">
        <v>1513</v>
      </c>
    </row>
    <row r="351" spans="1:35" ht="26.25" x14ac:dyDescent="0.25">
      <c r="A351" s="18" t="s">
        <v>1514</v>
      </c>
      <c r="B351" s="19" t="s">
        <v>40</v>
      </c>
      <c r="C351" s="19" t="s">
        <v>1496</v>
      </c>
      <c r="D351" s="19" t="s">
        <v>1497</v>
      </c>
      <c r="E351" s="19" t="s">
        <v>1515</v>
      </c>
      <c r="F351" s="20"/>
      <c r="G351" s="21" t="s">
        <v>1516</v>
      </c>
      <c r="H351" s="18"/>
      <c r="I351" s="123" t="s">
        <v>276</v>
      </c>
      <c r="J351" s="210"/>
      <c r="K351" s="250"/>
      <c r="L351" s="251"/>
      <c r="M351" s="252"/>
      <c r="N351" s="253"/>
      <c r="O351" s="252"/>
      <c r="P351" s="254"/>
      <c r="Q351" s="418"/>
      <c r="R351" s="419"/>
      <c r="S351" s="420"/>
      <c r="T351" s="421"/>
      <c r="U351" s="420"/>
      <c r="V351" s="422"/>
      <c r="W351" s="597"/>
      <c r="X351" s="598"/>
      <c r="Y351" s="599"/>
      <c r="Z351" s="600"/>
      <c r="AA351" s="599"/>
      <c r="AB351" s="601"/>
      <c r="AC351" s="781"/>
      <c r="AD351" s="782"/>
      <c r="AE351" s="783"/>
      <c r="AF351" s="784"/>
      <c r="AG351" s="783"/>
      <c r="AH351" s="957"/>
      <c r="AI351" s="913" t="s">
        <v>1503</v>
      </c>
    </row>
    <row r="352" spans="1:35" ht="26.25" x14ac:dyDescent="0.25">
      <c r="A352" s="18" t="s">
        <v>1517</v>
      </c>
      <c r="B352" s="19" t="s">
        <v>40</v>
      </c>
      <c r="C352" s="19" t="s">
        <v>1496</v>
      </c>
      <c r="D352" s="19" t="s">
        <v>1497</v>
      </c>
      <c r="E352" s="19" t="s">
        <v>1518</v>
      </c>
      <c r="F352" s="20"/>
      <c r="G352" s="21" t="s">
        <v>1518</v>
      </c>
      <c r="H352" s="18"/>
      <c r="I352" s="123" t="s">
        <v>1519</v>
      </c>
      <c r="J352" s="210"/>
      <c r="K352" s="250"/>
      <c r="L352" s="251"/>
      <c r="M352" s="252"/>
      <c r="N352" s="253"/>
      <c r="O352" s="252"/>
      <c r="P352" s="254"/>
      <c r="Q352" s="418"/>
      <c r="R352" s="419"/>
      <c r="S352" s="420"/>
      <c r="T352" s="421"/>
      <c r="U352" s="420"/>
      <c r="V352" s="422"/>
      <c r="W352" s="597"/>
      <c r="X352" s="598"/>
      <c r="Y352" s="599"/>
      <c r="Z352" s="600"/>
      <c r="AA352" s="599"/>
      <c r="AB352" s="601"/>
      <c r="AC352" s="781"/>
      <c r="AD352" s="782"/>
      <c r="AE352" s="783"/>
      <c r="AF352" s="784"/>
      <c r="AG352" s="783"/>
      <c r="AH352" s="957"/>
      <c r="AI352" s="913" t="s">
        <v>1520</v>
      </c>
    </row>
    <row r="353" spans="1:35" ht="26.25" x14ac:dyDescent="0.25">
      <c r="A353" s="18" t="s">
        <v>1521</v>
      </c>
      <c r="B353" s="19" t="s">
        <v>40</v>
      </c>
      <c r="C353" s="19" t="s">
        <v>1496</v>
      </c>
      <c r="D353" s="19" t="s">
        <v>1497</v>
      </c>
      <c r="E353" s="19" t="s">
        <v>1125</v>
      </c>
      <c r="F353" s="20"/>
      <c r="G353" s="21" t="s">
        <v>1522</v>
      </c>
      <c r="H353" s="18"/>
      <c r="I353" s="123" t="s">
        <v>1519</v>
      </c>
      <c r="J353" s="210"/>
      <c r="K353" s="250"/>
      <c r="L353" s="251"/>
      <c r="M353" s="252"/>
      <c r="N353" s="253"/>
      <c r="O353" s="252"/>
      <c r="P353" s="254"/>
      <c r="Q353" s="418"/>
      <c r="R353" s="419"/>
      <c r="S353" s="420"/>
      <c r="T353" s="421"/>
      <c r="U353" s="420"/>
      <c r="V353" s="422"/>
      <c r="W353" s="597"/>
      <c r="X353" s="598"/>
      <c r="Y353" s="599"/>
      <c r="Z353" s="600"/>
      <c r="AA353" s="599"/>
      <c r="AB353" s="601"/>
      <c r="AC353" s="781"/>
      <c r="AD353" s="782"/>
      <c r="AE353" s="783"/>
      <c r="AF353" s="784"/>
      <c r="AG353" s="783"/>
      <c r="AH353" s="957"/>
      <c r="AI353" s="913" t="s">
        <v>1523</v>
      </c>
    </row>
    <row r="354" spans="1:35" ht="26.25" x14ac:dyDescent="0.25">
      <c r="A354" s="18" t="s">
        <v>1524</v>
      </c>
      <c r="B354" s="19" t="s">
        <v>40</v>
      </c>
      <c r="C354" s="19" t="s">
        <v>1496</v>
      </c>
      <c r="D354" s="19" t="s">
        <v>1497</v>
      </c>
      <c r="E354" s="19" t="s">
        <v>1433</v>
      </c>
      <c r="F354" s="20"/>
      <c r="G354" s="21" t="s">
        <v>1525</v>
      </c>
      <c r="H354" s="18"/>
      <c r="I354" s="123" t="s">
        <v>432</v>
      </c>
      <c r="J354" s="210"/>
      <c r="K354" s="250"/>
      <c r="L354" s="251"/>
      <c r="M354" s="252"/>
      <c r="N354" s="253"/>
      <c r="O354" s="252"/>
      <c r="P354" s="254"/>
      <c r="Q354" s="418"/>
      <c r="R354" s="419"/>
      <c r="S354" s="420"/>
      <c r="T354" s="421"/>
      <c r="U354" s="420"/>
      <c r="V354" s="422"/>
      <c r="W354" s="597"/>
      <c r="X354" s="598"/>
      <c r="Y354" s="599"/>
      <c r="Z354" s="600"/>
      <c r="AA354" s="599"/>
      <c r="AB354" s="601"/>
      <c r="AC354" s="781"/>
      <c r="AD354" s="782"/>
      <c r="AE354" s="783"/>
      <c r="AF354" s="784"/>
      <c r="AG354" s="783"/>
      <c r="AH354" s="957"/>
      <c r="AI354" s="913" t="s">
        <v>1526</v>
      </c>
    </row>
    <row r="355" spans="1:35" ht="26.25" x14ac:dyDescent="0.25">
      <c r="A355" s="18" t="s">
        <v>1527</v>
      </c>
      <c r="B355" s="19" t="s">
        <v>40</v>
      </c>
      <c r="C355" s="19" t="s">
        <v>1496</v>
      </c>
      <c r="D355" s="19" t="s">
        <v>1497</v>
      </c>
      <c r="E355" s="19" t="s">
        <v>1528</v>
      </c>
      <c r="F355" s="20"/>
      <c r="G355" s="21" t="s">
        <v>1529</v>
      </c>
      <c r="H355" s="18"/>
      <c r="I355" s="123" t="s">
        <v>432</v>
      </c>
      <c r="J355" s="210"/>
      <c r="K355" s="250"/>
      <c r="L355" s="251"/>
      <c r="M355" s="252"/>
      <c r="N355" s="253"/>
      <c r="O355" s="252"/>
      <c r="P355" s="254"/>
      <c r="Q355" s="418"/>
      <c r="R355" s="419"/>
      <c r="S355" s="420"/>
      <c r="T355" s="421"/>
      <c r="U355" s="420"/>
      <c r="V355" s="422"/>
      <c r="W355" s="597"/>
      <c r="X355" s="598"/>
      <c r="Y355" s="599"/>
      <c r="Z355" s="600"/>
      <c r="AA355" s="599"/>
      <c r="AB355" s="601"/>
      <c r="AC355" s="781"/>
      <c r="AD355" s="782"/>
      <c r="AE355" s="783"/>
      <c r="AF355" s="784"/>
      <c r="AG355" s="783"/>
      <c r="AH355" s="957"/>
      <c r="AI355" s="913" t="s">
        <v>1530</v>
      </c>
    </row>
    <row r="356" spans="1:35" ht="26.25" x14ac:dyDescent="0.25">
      <c r="A356" s="18" t="s">
        <v>1531</v>
      </c>
      <c r="B356" s="19" t="s">
        <v>40</v>
      </c>
      <c r="C356" s="19" t="s">
        <v>1496</v>
      </c>
      <c r="D356" s="19" t="s">
        <v>1497</v>
      </c>
      <c r="E356" s="19" t="s">
        <v>1532</v>
      </c>
      <c r="F356" s="20"/>
      <c r="G356" s="21" t="s">
        <v>1533</v>
      </c>
      <c r="H356" s="18"/>
      <c r="I356" s="123" t="s">
        <v>61</v>
      </c>
      <c r="J356" s="210"/>
      <c r="K356" s="250"/>
      <c r="L356" s="251"/>
      <c r="M356" s="252"/>
      <c r="N356" s="253"/>
      <c r="O356" s="252"/>
      <c r="P356" s="254"/>
      <c r="Q356" s="418"/>
      <c r="R356" s="419"/>
      <c r="S356" s="420"/>
      <c r="T356" s="421"/>
      <c r="U356" s="420"/>
      <c r="V356" s="422"/>
      <c r="W356" s="597"/>
      <c r="X356" s="598"/>
      <c r="Y356" s="599"/>
      <c r="Z356" s="600"/>
      <c r="AA356" s="599"/>
      <c r="AB356" s="601"/>
      <c r="AC356" s="781"/>
      <c r="AD356" s="782"/>
      <c r="AE356" s="783"/>
      <c r="AF356" s="784"/>
      <c r="AG356" s="783"/>
      <c r="AH356" s="957"/>
      <c r="AI356" s="913"/>
    </row>
    <row r="357" spans="1:35" ht="64.5" x14ac:dyDescent="0.25">
      <c r="A357" s="120" t="s">
        <v>1534</v>
      </c>
      <c r="B357" s="121" t="s">
        <v>40</v>
      </c>
      <c r="C357" s="121" t="s">
        <v>1496</v>
      </c>
      <c r="D357" s="121" t="s">
        <v>1497</v>
      </c>
      <c r="E357" s="121"/>
      <c r="F357" s="93" t="s">
        <v>1535</v>
      </c>
      <c r="G357" s="113" t="s">
        <v>1262</v>
      </c>
      <c r="H357" s="120"/>
      <c r="I357" s="124"/>
      <c r="J357" s="220"/>
      <c r="K357" s="320"/>
      <c r="L357" s="321"/>
      <c r="M357" s="322"/>
      <c r="N357" s="323"/>
      <c r="O357" s="322"/>
      <c r="P357" s="324"/>
      <c r="Q357" s="495"/>
      <c r="R357" s="496"/>
      <c r="S357" s="497"/>
      <c r="T357" s="498"/>
      <c r="U357" s="497"/>
      <c r="V357" s="499"/>
      <c r="W357" s="679"/>
      <c r="X357" s="680"/>
      <c r="Y357" s="681"/>
      <c r="Z357" s="682"/>
      <c r="AA357" s="681"/>
      <c r="AB357" s="683"/>
      <c r="AC357" s="842"/>
      <c r="AD357" s="843"/>
      <c r="AE357" s="844"/>
      <c r="AF357" s="845"/>
      <c r="AG357" s="844"/>
      <c r="AH357" s="975"/>
      <c r="AI357" s="933"/>
    </row>
    <row r="358" spans="1:35" ht="77.25" x14ac:dyDescent="0.25">
      <c r="A358" s="120" t="s">
        <v>1536</v>
      </c>
      <c r="B358" s="121" t="s">
        <v>40</v>
      </c>
      <c r="C358" s="121" t="s">
        <v>1496</v>
      </c>
      <c r="D358" s="121" t="s">
        <v>1497</v>
      </c>
      <c r="E358" s="121"/>
      <c r="F358" s="93" t="s">
        <v>1537</v>
      </c>
      <c r="G358" s="113" t="s">
        <v>1262</v>
      </c>
      <c r="H358" s="120"/>
      <c r="I358" s="124"/>
      <c r="J358" s="220"/>
      <c r="K358" s="320"/>
      <c r="L358" s="321"/>
      <c r="M358" s="322"/>
      <c r="N358" s="323"/>
      <c r="O358" s="322"/>
      <c r="P358" s="324"/>
      <c r="Q358" s="495"/>
      <c r="R358" s="496"/>
      <c r="S358" s="497"/>
      <c r="T358" s="498"/>
      <c r="U358" s="497"/>
      <c r="V358" s="499"/>
      <c r="W358" s="679"/>
      <c r="X358" s="680"/>
      <c r="Y358" s="681"/>
      <c r="Z358" s="682"/>
      <c r="AA358" s="681"/>
      <c r="AB358" s="683"/>
      <c r="AC358" s="842"/>
      <c r="AD358" s="843"/>
      <c r="AE358" s="844"/>
      <c r="AF358" s="845"/>
      <c r="AG358" s="844"/>
      <c r="AH358" s="975"/>
      <c r="AI358" s="933"/>
    </row>
    <row r="359" spans="1:35" ht="30.75" thickBot="1" x14ac:dyDescent="0.3">
      <c r="A359" s="125" t="s">
        <v>1538</v>
      </c>
      <c r="B359" s="126" t="s">
        <v>40</v>
      </c>
      <c r="C359" s="126" t="s">
        <v>1496</v>
      </c>
      <c r="D359" s="126" t="s">
        <v>1497</v>
      </c>
      <c r="E359" s="126"/>
      <c r="F359" s="127" t="s">
        <v>1497</v>
      </c>
      <c r="G359" s="128" t="s">
        <v>1497</v>
      </c>
      <c r="H359" s="125"/>
      <c r="I359" s="129" t="s">
        <v>1278</v>
      </c>
      <c r="J359" s="221"/>
      <c r="K359" s="328">
        <v>329</v>
      </c>
      <c r="L359" s="329" t="s">
        <v>1539</v>
      </c>
      <c r="M359" s="330">
        <f>(1051917/5000)-K359</f>
        <v>-118.61660000000001</v>
      </c>
      <c r="N359" s="331">
        <f>3197/5000</f>
        <v>0.63939999999999997</v>
      </c>
      <c r="O359" s="330">
        <f>(1051917/2000)-K359</f>
        <v>196.95849999999996</v>
      </c>
      <c r="P359" s="332">
        <f>3197/2000</f>
        <v>1.5985</v>
      </c>
      <c r="Q359" s="503">
        <v>194</v>
      </c>
      <c r="R359" s="504" t="s">
        <v>1540</v>
      </c>
      <c r="S359" s="505">
        <f>(578592/5000)-Q359</f>
        <v>-78.281599999999997</v>
      </c>
      <c r="T359" s="506">
        <f>2892/5000</f>
        <v>0.57840000000000003</v>
      </c>
      <c r="U359" s="505">
        <f>(578592/2000)-Q359</f>
        <v>95.295999999999992</v>
      </c>
      <c r="V359" s="507">
        <f>2982/2000</f>
        <v>1.4910000000000001</v>
      </c>
      <c r="W359" s="687">
        <v>61</v>
      </c>
      <c r="X359" s="688" t="s">
        <v>1541</v>
      </c>
      <c r="Y359" s="689">
        <f>(189789/5000)-W359</f>
        <v>-23.042200000000001</v>
      </c>
      <c r="Z359" s="690">
        <f>3111/5000</f>
        <v>0.62219999999999998</v>
      </c>
      <c r="AA359" s="689">
        <f>(189789/2000)-W359</f>
        <v>33.894499999999994</v>
      </c>
      <c r="AB359" s="691">
        <f>3111/2000</f>
        <v>1.5555000000000001</v>
      </c>
      <c r="AC359" s="848">
        <v>74</v>
      </c>
      <c r="AD359" s="849" t="s">
        <v>1542</v>
      </c>
      <c r="AE359" s="850">
        <f>(263509/5000)-AC359</f>
        <v>-21.298200000000001</v>
      </c>
      <c r="AF359" s="851">
        <f>3561/5000</f>
        <v>0.71220000000000006</v>
      </c>
      <c r="AG359" s="850">
        <f>(263509/2000)-AC359</f>
        <v>57.754500000000007</v>
      </c>
      <c r="AH359" s="977">
        <f>3561/2000</f>
        <v>1.7805</v>
      </c>
      <c r="AI359" s="934"/>
    </row>
    <row r="360" spans="1:35" ht="64.5" x14ac:dyDescent="0.25">
      <c r="A360" s="101" t="s">
        <v>1543</v>
      </c>
      <c r="B360" s="102" t="s">
        <v>40</v>
      </c>
      <c r="C360" s="102" t="s">
        <v>1544</v>
      </c>
      <c r="D360" s="102" t="s">
        <v>1545</v>
      </c>
      <c r="E360" s="102"/>
      <c r="F360" s="103" t="s">
        <v>1291</v>
      </c>
      <c r="G360" s="104" t="s">
        <v>1545</v>
      </c>
      <c r="H360" s="101"/>
      <c r="I360" s="130" t="s">
        <v>432</v>
      </c>
      <c r="J360" s="218"/>
      <c r="K360" s="313"/>
      <c r="L360" s="314"/>
      <c r="M360" s="315"/>
      <c r="N360" s="316"/>
      <c r="O360" s="315"/>
      <c r="P360" s="317"/>
      <c r="Q360" s="485"/>
      <c r="R360" s="486"/>
      <c r="S360" s="487"/>
      <c r="T360" s="488"/>
      <c r="U360" s="487"/>
      <c r="V360" s="489"/>
      <c r="W360" s="672"/>
      <c r="X360" s="673"/>
      <c r="Y360" s="674"/>
      <c r="Z360" s="675"/>
      <c r="AA360" s="674"/>
      <c r="AB360" s="676"/>
      <c r="AC360" s="836"/>
      <c r="AD360" s="837"/>
      <c r="AE360" s="838"/>
      <c r="AF360" s="839"/>
      <c r="AG360" s="838"/>
      <c r="AH360" s="974"/>
      <c r="AI360" s="929" t="s">
        <v>1546</v>
      </c>
    </row>
    <row r="361" spans="1:35" ht="64.5" x14ac:dyDescent="0.25">
      <c r="A361" s="32" t="s">
        <v>1547</v>
      </c>
      <c r="B361" s="33" t="s">
        <v>40</v>
      </c>
      <c r="C361" s="33" t="s">
        <v>1544</v>
      </c>
      <c r="D361" s="33" t="s">
        <v>1548</v>
      </c>
      <c r="E361" s="33"/>
      <c r="F361" s="34" t="s">
        <v>1291</v>
      </c>
      <c r="G361" s="35" t="s">
        <v>1548</v>
      </c>
      <c r="H361" s="75" t="s">
        <v>1549</v>
      </c>
      <c r="I361" s="105" t="s">
        <v>383</v>
      </c>
      <c r="J361" s="210"/>
      <c r="K361" s="250"/>
      <c r="L361" s="251"/>
      <c r="M361" s="252"/>
      <c r="N361" s="253"/>
      <c r="O361" s="252"/>
      <c r="P361" s="254"/>
      <c r="Q361" s="418"/>
      <c r="R361" s="419"/>
      <c r="S361" s="420"/>
      <c r="T361" s="421"/>
      <c r="U361" s="420"/>
      <c r="V361" s="422"/>
      <c r="W361" s="597"/>
      <c r="X361" s="598"/>
      <c r="Y361" s="599"/>
      <c r="Z361" s="600"/>
      <c r="AA361" s="599"/>
      <c r="AB361" s="601"/>
      <c r="AC361" s="781"/>
      <c r="AD361" s="782"/>
      <c r="AE361" s="783"/>
      <c r="AF361" s="784"/>
      <c r="AG361" s="783"/>
      <c r="AH361" s="957"/>
      <c r="AI361" s="916" t="s">
        <v>1550</v>
      </c>
    </row>
    <row r="362" spans="1:35" ht="45" x14ac:dyDescent="0.25">
      <c r="A362" s="131" t="s">
        <v>1551</v>
      </c>
      <c r="B362" s="132" t="s">
        <v>40</v>
      </c>
      <c r="C362" s="132" t="s">
        <v>1544</v>
      </c>
      <c r="D362" s="132" t="s">
        <v>1552</v>
      </c>
      <c r="E362" s="132"/>
      <c r="F362" s="43" t="s">
        <v>1552</v>
      </c>
      <c r="G362" s="133" t="s">
        <v>1552</v>
      </c>
      <c r="H362" s="131"/>
      <c r="I362" s="134" t="s">
        <v>383</v>
      </c>
      <c r="J362" s="222"/>
      <c r="K362" s="333">
        <v>823</v>
      </c>
      <c r="L362" s="334" t="s">
        <v>1553</v>
      </c>
      <c r="M362" s="335">
        <f>(1051917/3000)-K362</f>
        <v>-472.36099999999999</v>
      </c>
      <c r="N362" s="336">
        <f>1278/3000</f>
        <v>0.42599999999999999</v>
      </c>
      <c r="O362" s="335">
        <f>(1051917/2000)-K362</f>
        <v>-297.04150000000004</v>
      </c>
      <c r="P362" s="337">
        <f>1278/2000</f>
        <v>0.63900000000000001</v>
      </c>
      <c r="Q362" s="508">
        <v>505</v>
      </c>
      <c r="R362" s="509" t="s">
        <v>1554</v>
      </c>
      <c r="S362" s="510">
        <f>(578592/3000)-Q362</f>
        <v>-312.13599999999997</v>
      </c>
      <c r="T362" s="511">
        <f>1146/3000</f>
        <v>0.38200000000000001</v>
      </c>
      <c r="U362" s="510">
        <f>(578592/2000)-Q362</f>
        <v>-215.70400000000001</v>
      </c>
      <c r="V362" s="512">
        <f>1146/2000</f>
        <v>0.57299999999999995</v>
      </c>
      <c r="W362" s="692">
        <v>129</v>
      </c>
      <c r="X362" s="693" t="s">
        <v>1555</v>
      </c>
      <c r="Y362" s="694">
        <f>(189789/3000)-W362</f>
        <v>-65.736999999999995</v>
      </c>
      <c r="Z362" s="695">
        <f>1471/3000</f>
        <v>0.49033333333333334</v>
      </c>
      <c r="AA362" s="694">
        <f>(189789/2000)-W362</f>
        <v>-34.105500000000006</v>
      </c>
      <c r="AB362" s="696">
        <f>1471/2000</f>
        <v>0.73550000000000004</v>
      </c>
      <c r="AC362" s="852">
        <v>189</v>
      </c>
      <c r="AD362" s="853" t="s">
        <v>1556</v>
      </c>
      <c r="AE362" s="854">
        <f>(263509/3000)-AC362</f>
        <v>-101.16366666666667</v>
      </c>
      <c r="AF362" s="855">
        <f>1394/3000</f>
        <v>0.46466666666666667</v>
      </c>
      <c r="AG362" s="854">
        <f>(263509/2000)-AC362</f>
        <v>-57.245499999999993</v>
      </c>
      <c r="AH362" s="978">
        <f>1394/2000</f>
        <v>0.69699999999999995</v>
      </c>
      <c r="AI362" s="935" t="s">
        <v>1557</v>
      </c>
    </row>
    <row r="363" spans="1:35" ht="64.5" x14ac:dyDescent="0.25">
      <c r="A363" s="32" t="s">
        <v>1558</v>
      </c>
      <c r="B363" s="33" t="s">
        <v>40</v>
      </c>
      <c r="C363" s="33" t="s">
        <v>1544</v>
      </c>
      <c r="D363" s="33" t="s">
        <v>1559</v>
      </c>
      <c r="E363" s="33"/>
      <c r="F363" s="34" t="s">
        <v>1291</v>
      </c>
      <c r="G363" s="35" t="s">
        <v>1559</v>
      </c>
      <c r="H363" s="75" t="s">
        <v>1560</v>
      </c>
      <c r="I363" s="135" t="s">
        <v>276</v>
      </c>
      <c r="J363" s="210"/>
      <c r="K363" s="250"/>
      <c r="L363" s="251"/>
      <c r="M363" s="252"/>
      <c r="N363" s="253"/>
      <c r="O363" s="252"/>
      <c r="P363" s="254"/>
      <c r="Q363" s="418"/>
      <c r="R363" s="419"/>
      <c r="S363" s="420"/>
      <c r="T363" s="421"/>
      <c r="U363" s="420"/>
      <c r="V363" s="422"/>
      <c r="W363" s="597"/>
      <c r="X363" s="598"/>
      <c r="Y363" s="599"/>
      <c r="Z363" s="600"/>
      <c r="AA363" s="599"/>
      <c r="AB363" s="601"/>
      <c r="AC363" s="781"/>
      <c r="AD363" s="782"/>
      <c r="AE363" s="783"/>
      <c r="AF363" s="784"/>
      <c r="AG363" s="783"/>
      <c r="AH363" s="957"/>
      <c r="AI363" s="916" t="s">
        <v>1557</v>
      </c>
    </row>
    <row r="364" spans="1:35" ht="64.5" x14ac:dyDescent="0.25">
      <c r="A364" s="32" t="s">
        <v>1561</v>
      </c>
      <c r="B364" s="33" t="s">
        <v>40</v>
      </c>
      <c r="C364" s="33" t="s">
        <v>1544</v>
      </c>
      <c r="D364" s="33" t="s">
        <v>1562</v>
      </c>
      <c r="E364" s="33"/>
      <c r="F364" s="34" t="s">
        <v>1291</v>
      </c>
      <c r="G364" s="35" t="s">
        <v>1562</v>
      </c>
      <c r="H364" s="75" t="s">
        <v>1563</v>
      </c>
      <c r="I364" s="33" t="s">
        <v>432</v>
      </c>
      <c r="J364" s="210"/>
      <c r="K364" s="250"/>
      <c r="L364" s="251"/>
      <c r="M364" s="252"/>
      <c r="N364" s="253"/>
      <c r="O364" s="252"/>
      <c r="P364" s="254"/>
      <c r="Q364" s="418"/>
      <c r="R364" s="419"/>
      <c r="S364" s="420"/>
      <c r="T364" s="421"/>
      <c r="U364" s="420"/>
      <c r="V364" s="422"/>
      <c r="W364" s="597"/>
      <c r="X364" s="598"/>
      <c r="Y364" s="599"/>
      <c r="Z364" s="600"/>
      <c r="AA364" s="599"/>
      <c r="AB364" s="601"/>
      <c r="AC364" s="781"/>
      <c r="AD364" s="782"/>
      <c r="AE364" s="783"/>
      <c r="AF364" s="784"/>
      <c r="AG364" s="783"/>
      <c r="AH364" s="957"/>
      <c r="AI364" s="916" t="s">
        <v>1564</v>
      </c>
    </row>
    <row r="365" spans="1:35" ht="39" x14ac:dyDescent="0.25">
      <c r="A365" s="18" t="s">
        <v>1565</v>
      </c>
      <c r="B365" s="19" t="s">
        <v>40</v>
      </c>
      <c r="C365" s="19" t="s">
        <v>1544</v>
      </c>
      <c r="D365" s="19" t="s">
        <v>1566</v>
      </c>
      <c r="E365" s="19" t="s">
        <v>1567</v>
      </c>
      <c r="F365" s="20"/>
      <c r="G365" s="21" t="s">
        <v>1567</v>
      </c>
      <c r="H365" s="18"/>
      <c r="I365" s="123" t="s">
        <v>109</v>
      </c>
      <c r="J365" s="210"/>
      <c r="K365" s="250"/>
      <c r="L365" s="251"/>
      <c r="M365" s="252"/>
      <c r="N365" s="253"/>
      <c r="O365" s="252"/>
      <c r="P365" s="254"/>
      <c r="Q365" s="418"/>
      <c r="R365" s="419"/>
      <c r="S365" s="420"/>
      <c r="T365" s="421"/>
      <c r="U365" s="420"/>
      <c r="V365" s="422"/>
      <c r="W365" s="597"/>
      <c r="X365" s="598"/>
      <c r="Y365" s="599"/>
      <c r="Z365" s="600"/>
      <c r="AA365" s="599"/>
      <c r="AB365" s="601"/>
      <c r="AC365" s="781"/>
      <c r="AD365" s="782"/>
      <c r="AE365" s="783"/>
      <c r="AF365" s="784"/>
      <c r="AG365" s="783"/>
      <c r="AH365" s="957"/>
      <c r="AI365" s="913" t="s">
        <v>1568</v>
      </c>
    </row>
    <row r="366" spans="1:35" ht="26.25" x14ac:dyDescent="0.25">
      <c r="A366" s="18" t="s">
        <v>1569</v>
      </c>
      <c r="B366" s="19" t="s">
        <v>40</v>
      </c>
      <c r="C366" s="19" t="s">
        <v>1544</v>
      </c>
      <c r="D366" s="19" t="s">
        <v>1566</v>
      </c>
      <c r="E366" s="19" t="s">
        <v>1570</v>
      </c>
      <c r="F366" s="20"/>
      <c r="G366" s="21" t="s">
        <v>1571</v>
      </c>
      <c r="H366" s="18"/>
      <c r="I366" s="123" t="s">
        <v>213</v>
      </c>
      <c r="J366" s="210"/>
      <c r="K366" s="250"/>
      <c r="L366" s="251"/>
      <c r="M366" s="252"/>
      <c r="N366" s="253"/>
      <c r="O366" s="252"/>
      <c r="P366" s="254"/>
      <c r="Q366" s="418"/>
      <c r="R366" s="419"/>
      <c r="S366" s="420"/>
      <c r="T366" s="421"/>
      <c r="U366" s="420"/>
      <c r="V366" s="422"/>
      <c r="W366" s="597"/>
      <c r="X366" s="598"/>
      <c r="Y366" s="599"/>
      <c r="Z366" s="600"/>
      <c r="AA366" s="599"/>
      <c r="AB366" s="601"/>
      <c r="AC366" s="781"/>
      <c r="AD366" s="782"/>
      <c r="AE366" s="783"/>
      <c r="AF366" s="784"/>
      <c r="AG366" s="783"/>
      <c r="AH366" s="957"/>
      <c r="AI366" s="913" t="s">
        <v>1572</v>
      </c>
    </row>
    <row r="367" spans="1:35" ht="26.25" x14ac:dyDescent="0.25">
      <c r="A367" s="18" t="s">
        <v>1573</v>
      </c>
      <c r="B367" s="19" t="s">
        <v>40</v>
      </c>
      <c r="C367" s="19" t="s">
        <v>1544</v>
      </c>
      <c r="D367" s="19" t="s">
        <v>1566</v>
      </c>
      <c r="E367" s="19" t="s">
        <v>1574</v>
      </c>
      <c r="F367" s="20"/>
      <c r="G367" s="21" t="s">
        <v>1574</v>
      </c>
      <c r="H367" s="18"/>
      <c r="I367" s="123" t="s">
        <v>89</v>
      </c>
      <c r="J367" s="210"/>
      <c r="K367" s="250"/>
      <c r="L367" s="251"/>
      <c r="M367" s="252"/>
      <c r="N367" s="253"/>
      <c r="O367" s="252"/>
      <c r="P367" s="254"/>
      <c r="Q367" s="418"/>
      <c r="R367" s="419"/>
      <c r="S367" s="420"/>
      <c r="T367" s="421"/>
      <c r="U367" s="420"/>
      <c r="V367" s="422"/>
      <c r="W367" s="597"/>
      <c r="X367" s="598"/>
      <c r="Y367" s="599"/>
      <c r="Z367" s="600"/>
      <c r="AA367" s="599"/>
      <c r="AB367" s="601"/>
      <c r="AC367" s="781"/>
      <c r="AD367" s="782"/>
      <c r="AE367" s="783"/>
      <c r="AF367" s="784"/>
      <c r="AG367" s="783"/>
      <c r="AH367" s="957"/>
      <c r="AI367" s="913" t="s">
        <v>1572</v>
      </c>
    </row>
    <row r="368" spans="1:35" ht="26.25" x14ac:dyDescent="0.25">
      <c r="A368" s="18" t="s">
        <v>1575</v>
      </c>
      <c r="B368" s="19" t="s">
        <v>40</v>
      </c>
      <c r="C368" s="19" t="s">
        <v>1544</v>
      </c>
      <c r="D368" s="19" t="s">
        <v>1566</v>
      </c>
      <c r="E368" s="19" t="s">
        <v>317</v>
      </c>
      <c r="F368" s="20"/>
      <c r="G368" s="21" t="s">
        <v>1576</v>
      </c>
      <c r="H368" s="18"/>
      <c r="I368" s="123" t="s">
        <v>307</v>
      </c>
      <c r="J368" s="210"/>
      <c r="K368" s="250"/>
      <c r="L368" s="251"/>
      <c r="M368" s="252"/>
      <c r="N368" s="253"/>
      <c r="O368" s="252"/>
      <c r="P368" s="254"/>
      <c r="Q368" s="418"/>
      <c r="R368" s="419"/>
      <c r="S368" s="420"/>
      <c r="T368" s="421"/>
      <c r="U368" s="420"/>
      <c r="V368" s="422"/>
      <c r="W368" s="597"/>
      <c r="X368" s="598"/>
      <c r="Y368" s="599"/>
      <c r="Z368" s="600"/>
      <c r="AA368" s="599"/>
      <c r="AB368" s="601"/>
      <c r="AC368" s="781"/>
      <c r="AD368" s="782"/>
      <c r="AE368" s="783"/>
      <c r="AF368" s="784"/>
      <c r="AG368" s="783"/>
      <c r="AH368" s="957"/>
      <c r="AI368" s="913" t="s">
        <v>1577</v>
      </c>
    </row>
    <row r="369" spans="1:35" ht="39" x14ac:dyDescent="0.25">
      <c r="A369" s="18" t="s">
        <v>1578</v>
      </c>
      <c r="B369" s="19" t="s">
        <v>40</v>
      </c>
      <c r="C369" s="19" t="s">
        <v>1544</v>
      </c>
      <c r="D369" s="19" t="s">
        <v>1566</v>
      </c>
      <c r="E369" s="19" t="s">
        <v>1579</v>
      </c>
      <c r="F369" s="20"/>
      <c r="G369" s="21" t="s">
        <v>1580</v>
      </c>
      <c r="H369" s="18"/>
      <c r="I369" s="136" t="s">
        <v>213</v>
      </c>
      <c r="J369" s="210"/>
      <c r="K369" s="250"/>
      <c r="L369" s="251"/>
      <c r="M369" s="252"/>
      <c r="N369" s="253"/>
      <c r="O369" s="252"/>
      <c r="P369" s="254"/>
      <c r="Q369" s="418"/>
      <c r="R369" s="419"/>
      <c r="S369" s="420"/>
      <c r="T369" s="421"/>
      <c r="U369" s="420"/>
      <c r="V369" s="422"/>
      <c r="W369" s="597"/>
      <c r="X369" s="598"/>
      <c r="Y369" s="599"/>
      <c r="Z369" s="600"/>
      <c r="AA369" s="599"/>
      <c r="AB369" s="601"/>
      <c r="AC369" s="781"/>
      <c r="AD369" s="782"/>
      <c r="AE369" s="783"/>
      <c r="AF369" s="784"/>
      <c r="AG369" s="783"/>
      <c r="AH369" s="957"/>
      <c r="AI369" s="913" t="s">
        <v>1572</v>
      </c>
    </row>
    <row r="370" spans="1:35" ht="39" x14ac:dyDescent="0.25">
      <c r="A370" s="18" t="s">
        <v>1581</v>
      </c>
      <c r="B370" s="19" t="s">
        <v>40</v>
      </c>
      <c r="C370" s="19" t="s">
        <v>1544</v>
      </c>
      <c r="D370" s="19" t="s">
        <v>1566</v>
      </c>
      <c r="E370" s="19" t="s">
        <v>1582</v>
      </c>
      <c r="F370" s="20"/>
      <c r="G370" s="21" t="s">
        <v>1583</v>
      </c>
      <c r="H370" s="18"/>
      <c r="I370" s="123" t="s">
        <v>213</v>
      </c>
      <c r="J370" s="210"/>
      <c r="K370" s="250"/>
      <c r="L370" s="251"/>
      <c r="M370" s="252"/>
      <c r="N370" s="253"/>
      <c r="O370" s="252"/>
      <c r="P370" s="254"/>
      <c r="Q370" s="418"/>
      <c r="R370" s="419"/>
      <c r="S370" s="420"/>
      <c r="T370" s="421"/>
      <c r="U370" s="420"/>
      <c r="V370" s="422"/>
      <c r="W370" s="597"/>
      <c r="X370" s="598"/>
      <c r="Y370" s="599"/>
      <c r="Z370" s="600"/>
      <c r="AA370" s="599"/>
      <c r="AB370" s="601"/>
      <c r="AC370" s="781"/>
      <c r="AD370" s="782"/>
      <c r="AE370" s="783"/>
      <c r="AF370" s="784"/>
      <c r="AG370" s="783"/>
      <c r="AH370" s="957"/>
      <c r="AI370" s="913" t="s">
        <v>1572</v>
      </c>
    </row>
    <row r="371" spans="1:35" ht="39" x14ac:dyDescent="0.25">
      <c r="A371" s="18" t="s">
        <v>1584</v>
      </c>
      <c r="B371" s="19" t="s">
        <v>40</v>
      </c>
      <c r="C371" s="19" t="s">
        <v>1544</v>
      </c>
      <c r="D371" s="19" t="s">
        <v>1566</v>
      </c>
      <c r="E371" s="19" t="s">
        <v>1585</v>
      </c>
      <c r="F371" s="20"/>
      <c r="G371" s="21" t="s">
        <v>1586</v>
      </c>
      <c r="H371" s="18"/>
      <c r="I371" s="123" t="s">
        <v>83</v>
      </c>
      <c r="J371" s="210"/>
      <c r="K371" s="250"/>
      <c r="L371" s="251"/>
      <c r="M371" s="252"/>
      <c r="N371" s="253"/>
      <c r="O371" s="252"/>
      <c r="P371" s="254"/>
      <c r="Q371" s="418"/>
      <c r="R371" s="419"/>
      <c r="S371" s="420"/>
      <c r="T371" s="421"/>
      <c r="U371" s="420"/>
      <c r="V371" s="422"/>
      <c r="W371" s="597"/>
      <c r="X371" s="598"/>
      <c r="Y371" s="599"/>
      <c r="Z371" s="600"/>
      <c r="AA371" s="599"/>
      <c r="AB371" s="601"/>
      <c r="AC371" s="781"/>
      <c r="AD371" s="782"/>
      <c r="AE371" s="783"/>
      <c r="AF371" s="784"/>
      <c r="AG371" s="783"/>
      <c r="AH371" s="957"/>
      <c r="AI371" s="913" t="s">
        <v>1572</v>
      </c>
    </row>
    <row r="372" spans="1:35" ht="26.25" x14ac:dyDescent="0.25">
      <c r="A372" s="18" t="s">
        <v>1587</v>
      </c>
      <c r="B372" s="19" t="s">
        <v>40</v>
      </c>
      <c r="C372" s="19" t="s">
        <v>1544</v>
      </c>
      <c r="D372" s="19" t="s">
        <v>1566</v>
      </c>
      <c r="E372" s="19" t="s">
        <v>1588</v>
      </c>
      <c r="F372" s="20"/>
      <c r="G372" s="21" t="s">
        <v>1589</v>
      </c>
      <c r="H372" s="18"/>
      <c r="I372" s="136" t="s">
        <v>213</v>
      </c>
      <c r="J372" s="210"/>
      <c r="K372" s="250"/>
      <c r="L372" s="251"/>
      <c r="M372" s="252"/>
      <c r="N372" s="253"/>
      <c r="O372" s="252"/>
      <c r="P372" s="254"/>
      <c r="Q372" s="418"/>
      <c r="R372" s="419"/>
      <c r="S372" s="420"/>
      <c r="T372" s="421"/>
      <c r="U372" s="420"/>
      <c r="V372" s="422"/>
      <c r="W372" s="597"/>
      <c r="X372" s="598"/>
      <c r="Y372" s="599"/>
      <c r="Z372" s="600"/>
      <c r="AA372" s="599"/>
      <c r="AB372" s="601"/>
      <c r="AC372" s="781"/>
      <c r="AD372" s="782"/>
      <c r="AE372" s="783"/>
      <c r="AF372" s="784"/>
      <c r="AG372" s="783"/>
      <c r="AH372" s="957"/>
      <c r="AI372" s="913" t="s">
        <v>1590</v>
      </c>
    </row>
    <row r="373" spans="1:35" ht="26.25" x14ac:dyDescent="0.25">
      <c r="A373" s="18" t="s">
        <v>1591</v>
      </c>
      <c r="B373" s="19" t="s">
        <v>40</v>
      </c>
      <c r="C373" s="19" t="s">
        <v>1544</v>
      </c>
      <c r="D373" s="19" t="s">
        <v>1566</v>
      </c>
      <c r="E373" s="19" t="s">
        <v>1592</v>
      </c>
      <c r="F373" s="20"/>
      <c r="G373" s="21" t="s">
        <v>1593</v>
      </c>
      <c r="H373" s="18"/>
      <c r="I373" s="137" t="s">
        <v>213</v>
      </c>
      <c r="J373" s="210"/>
      <c r="K373" s="250"/>
      <c r="L373" s="251"/>
      <c r="M373" s="252"/>
      <c r="N373" s="253"/>
      <c r="O373" s="252"/>
      <c r="P373" s="254"/>
      <c r="Q373" s="418"/>
      <c r="R373" s="419"/>
      <c r="S373" s="420"/>
      <c r="T373" s="421"/>
      <c r="U373" s="420"/>
      <c r="V373" s="422"/>
      <c r="W373" s="597"/>
      <c r="X373" s="598"/>
      <c r="Y373" s="599"/>
      <c r="Z373" s="600"/>
      <c r="AA373" s="599"/>
      <c r="AB373" s="601"/>
      <c r="AC373" s="781"/>
      <c r="AD373" s="782"/>
      <c r="AE373" s="783"/>
      <c r="AF373" s="784"/>
      <c r="AG373" s="783"/>
      <c r="AH373" s="957"/>
      <c r="AI373" s="913" t="s">
        <v>1594</v>
      </c>
    </row>
    <row r="374" spans="1:35" ht="39" x14ac:dyDescent="0.25">
      <c r="A374" s="18" t="s">
        <v>1595</v>
      </c>
      <c r="B374" s="19" t="s">
        <v>40</v>
      </c>
      <c r="C374" s="19" t="s">
        <v>1544</v>
      </c>
      <c r="D374" s="19" t="s">
        <v>1566</v>
      </c>
      <c r="E374" s="19" t="s">
        <v>1596</v>
      </c>
      <c r="F374" s="20"/>
      <c r="G374" s="21" t="s">
        <v>1597</v>
      </c>
      <c r="H374" s="18"/>
      <c r="I374" s="19" t="s">
        <v>276</v>
      </c>
      <c r="J374" s="210"/>
      <c r="K374" s="250"/>
      <c r="L374" s="251"/>
      <c r="M374" s="252"/>
      <c r="N374" s="253"/>
      <c r="O374" s="252"/>
      <c r="P374" s="254"/>
      <c r="Q374" s="418"/>
      <c r="R374" s="419"/>
      <c r="S374" s="420"/>
      <c r="T374" s="421"/>
      <c r="U374" s="420"/>
      <c r="V374" s="422"/>
      <c r="W374" s="597"/>
      <c r="X374" s="598"/>
      <c r="Y374" s="599"/>
      <c r="Z374" s="600"/>
      <c r="AA374" s="599"/>
      <c r="AB374" s="601"/>
      <c r="AC374" s="781"/>
      <c r="AD374" s="782"/>
      <c r="AE374" s="783"/>
      <c r="AF374" s="784"/>
      <c r="AG374" s="783"/>
      <c r="AH374" s="957"/>
      <c r="AI374" s="913"/>
    </row>
    <row r="375" spans="1:35" ht="26.25" x14ac:dyDescent="0.25">
      <c r="A375" s="18" t="s">
        <v>1598</v>
      </c>
      <c r="B375" s="19" t="s">
        <v>40</v>
      </c>
      <c r="C375" s="19" t="s">
        <v>1544</v>
      </c>
      <c r="D375" s="19" t="s">
        <v>1566</v>
      </c>
      <c r="E375" s="19" t="s">
        <v>1599</v>
      </c>
      <c r="F375" s="20"/>
      <c r="G375" s="21" t="s">
        <v>1599</v>
      </c>
      <c r="H375" s="18"/>
      <c r="I375" s="19" t="s">
        <v>191</v>
      </c>
      <c r="J375" s="210"/>
      <c r="K375" s="250"/>
      <c r="L375" s="251"/>
      <c r="M375" s="252"/>
      <c r="N375" s="253"/>
      <c r="O375" s="252"/>
      <c r="P375" s="254"/>
      <c r="Q375" s="418"/>
      <c r="R375" s="419"/>
      <c r="S375" s="420"/>
      <c r="T375" s="421"/>
      <c r="U375" s="420"/>
      <c r="V375" s="422"/>
      <c r="W375" s="597"/>
      <c r="X375" s="598"/>
      <c r="Y375" s="599"/>
      <c r="Z375" s="600"/>
      <c r="AA375" s="599"/>
      <c r="AB375" s="601"/>
      <c r="AC375" s="781"/>
      <c r="AD375" s="782"/>
      <c r="AE375" s="783"/>
      <c r="AF375" s="784"/>
      <c r="AG375" s="783"/>
      <c r="AH375" s="957"/>
      <c r="AI375" s="913" t="s">
        <v>1572</v>
      </c>
    </row>
    <row r="376" spans="1:35" ht="26.25" x14ac:dyDescent="0.25">
      <c r="A376" s="18" t="s">
        <v>1600</v>
      </c>
      <c r="B376" s="19" t="s">
        <v>40</v>
      </c>
      <c r="C376" s="19" t="s">
        <v>1544</v>
      </c>
      <c r="D376" s="19" t="s">
        <v>1566</v>
      </c>
      <c r="E376" s="19" t="s">
        <v>1601</v>
      </c>
      <c r="F376" s="20"/>
      <c r="G376" s="21" t="s">
        <v>1601</v>
      </c>
      <c r="H376" s="18"/>
      <c r="I376" s="19" t="s">
        <v>648</v>
      </c>
      <c r="J376" s="210"/>
      <c r="K376" s="250"/>
      <c r="L376" s="251"/>
      <c r="M376" s="252"/>
      <c r="N376" s="253"/>
      <c r="O376" s="252"/>
      <c r="P376" s="254"/>
      <c r="Q376" s="418"/>
      <c r="R376" s="419"/>
      <c r="S376" s="420"/>
      <c r="T376" s="421"/>
      <c r="U376" s="420"/>
      <c r="V376" s="422"/>
      <c r="W376" s="597"/>
      <c r="X376" s="598"/>
      <c r="Y376" s="599"/>
      <c r="Z376" s="600"/>
      <c r="AA376" s="599"/>
      <c r="AB376" s="601"/>
      <c r="AC376" s="781"/>
      <c r="AD376" s="782"/>
      <c r="AE376" s="783"/>
      <c r="AF376" s="784"/>
      <c r="AG376" s="783"/>
      <c r="AH376" s="957"/>
      <c r="AI376" s="913" t="s">
        <v>1572</v>
      </c>
    </row>
    <row r="377" spans="1:35" ht="26.25" x14ac:dyDescent="0.25">
      <c r="A377" s="18" t="s">
        <v>1602</v>
      </c>
      <c r="B377" s="19" t="s">
        <v>40</v>
      </c>
      <c r="C377" s="19" t="s">
        <v>1544</v>
      </c>
      <c r="D377" s="19" t="s">
        <v>1566</v>
      </c>
      <c r="E377" s="19" t="s">
        <v>1603</v>
      </c>
      <c r="F377" s="20"/>
      <c r="G377" s="21" t="s">
        <v>1603</v>
      </c>
      <c r="H377" s="18"/>
      <c r="I377" s="19" t="s">
        <v>73</v>
      </c>
      <c r="J377" s="210"/>
      <c r="K377" s="250"/>
      <c r="L377" s="251"/>
      <c r="M377" s="252"/>
      <c r="N377" s="253"/>
      <c r="O377" s="252"/>
      <c r="P377" s="254"/>
      <c r="Q377" s="418"/>
      <c r="R377" s="419"/>
      <c r="S377" s="420"/>
      <c r="T377" s="421"/>
      <c r="U377" s="420"/>
      <c r="V377" s="422"/>
      <c r="W377" s="597"/>
      <c r="X377" s="598"/>
      <c r="Y377" s="599"/>
      <c r="Z377" s="600"/>
      <c r="AA377" s="599"/>
      <c r="AB377" s="601"/>
      <c r="AC377" s="781"/>
      <c r="AD377" s="782"/>
      <c r="AE377" s="783"/>
      <c r="AF377" s="784"/>
      <c r="AG377" s="783"/>
      <c r="AH377" s="957"/>
      <c r="AI377" s="913" t="s">
        <v>1572</v>
      </c>
    </row>
    <row r="378" spans="1:35" ht="26.25" x14ac:dyDescent="0.25">
      <c r="A378" s="23" t="s">
        <v>1604</v>
      </c>
      <c r="B378" s="24" t="s">
        <v>40</v>
      </c>
      <c r="C378" s="24" t="s">
        <v>1544</v>
      </c>
      <c r="D378" s="24" t="s">
        <v>1566</v>
      </c>
      <c r="E378" s="24"/>
      <c r="F378" s="25" t="s">
        <v>1566</v>
      </c>
      <c r="G378" s="26" t="s">
        <v>1566</v>
      </c>
      <c r="H378" s="72"/>
      <c r="I378" s="138" t="s">
        <v>1605</v>
      </c>
      <c r="J378" s="210"/>
      <c r="K378" s="250">
        <v>662</v>
      </c>
      <c r="L378" s="251" t="s">
        <v>1606</v>
      </c>
      <c r="M378" s="279">
        <f>(1051917/1300)-K378</f>
        <v>147.16692307692313</v>
      </c>
      <c r="N378" s="280">
        <f>1589/1300</f>
        <v>1.2223076923076923</v>
      </c>
      <c r="O378" s="279">
        <f>(1051917/1000)-K378</f>
        <v>389.91699999999992</v>
      </c>
      <c r="P378" s="281">
        <f>1589/1000</f>
        <v>1.589</v>
      </c>
      <c r="Q378" s="418">
        <v>474</v>
      </c>
      <c r="R378" s="419" t="s">
        <v>1607</v>
      </c>
      <c r="S378" s="467">
        <f>(578592/1300)-Q378</f>
        <v>-28.929230769230742</v>
      </c>
      <c r="T378" s="468">
        <f>1221/1300</f>
        <v>0.9392307692307692</v>
      </c>
      <c r="U378" s="467">
        <f>(578592/1000)-Q378</f>
        <v>104.59199999999998</v>
      </c>
      <c r="V378" s="469">
        <f>1221/1000</f>
        <v>1.2210000000000001</v>
      </c>
      <c r="W378" s="597">
        <v>82</v>
      </c>
      <c r="X378" s="598" t="s">
        <v>1608</v>
      </c>
      <c r="Y378" s="644">
        <f>(189789/1300)-W378</f>
        <v>63.991538461538454</v>
      </c>
      <c r="Z378" s="645">
        <f>2315/1300</f>
        <v>1.7807692307692307</v>
      </c>
      <c r="AA378" s="644">
        <f>(189789/1000)-W378</f>
        <v>107.78899999999999</v>
      </c>
      <c r="AB378" s="646">
        <f>2315/1000</f>
        <v>2.3149999999999999</v>
      </c>
      <c r="AC378" s="781">
        <v>106</v>
      </c>
      <c r="AD378" s="782" t="s">
        <v>1609</v>
      </c>
      <c r="AE378" s="804">
        <f>(263509/1300)-AC378</f>
        <v>96.69923076923078</v>
      </c>
      <c r="AF378" s="805">
        <f>2486/1300</f>
        <v>1.9123076923076923</v>
      </c>
      <c r="AG378" s="804">
        <f>(263509/1000)-AC378</f>
        <v>157.50900000000001</v>
      </c>
      <c r="AH378" s="964">
        <f>2486/1000</f>
        <v>2.4860000000000002</v>
      </c>
      <c r="AI378" s="914" t="s">
        <v>1572</v>
      </c>
    </row>
    <row r="379" spans="1:35" ht="51.75" x14ac:dyDescent="0.25">
      <c r="A379" s="110" t="s">
        <v>1610</v>
      </c>
      <c r="B379" s="111" t="s">
        <v>40</v>
      </c>
      <c r="C379" s="111" t="s">
        <v>1544</v>
      </c>
      <c r="D379" s="111" t="s">
        <v>1566</v>
      </c>
      <c r="E379" s="111"/>
      <c r="F379" s="112" t="s">
        <v>1611</v>
      </c>
      <c r="G379" s="113" t="s">
        <v>1262</v>
      </c>
      <c r="H379" s="139"/>
      <c r="I379" s="140"/>
      <c r="J379" s="210"/>
      <c r="K379" s="250"/>
      <c r="L379" s="251"/>
      <c r="M379" s="252"/>
      <c r="N379" s="253"/>
      <c r="O379" s="252"/>
      <c r="P379" s="254"/>
      <c r="Q379" s="418"/>
      <c r="R379" s="419"/>
      <c r="S379" s="420"/>
      <c r="T379" s="421"/>
      <c r="U379" s="420"/>
      <c r="V379" s="422"/>
      <c r="W379" s="597"/>
      <c r="X379" s="598"/>
      <c r="Y379" s="599"/>
      <c r="Z379" s="600"/>
      <c r="AA379" s="599"/>
      <c r="AB379" s="601"/>
      <c r="AC379" s="781"/>
      <c r="AD379" s="782"/>
      <c r="AE379" s="783"/>
      <c r="AF379" s="784"/>
      <c r="AG379" s="783"/>
      <c r="AH379" s="957"/>
      <c r="AI379" s="931"/>
    </row>
    <row r="380" spans="1:35" ht="51.75" x14ac:dyDescent="0.25">
      <c r="A380" s="110" t="s">
        <v>1612</v>
      </c>
      <c r="B380" s="111" t="s">
        <v>40</v>
      </c>
      <c r="C380" s="111" t="s">
        <v>1544</v>
      </c>
      <c r="D380" s="111" t="s">
        <v>1566</v>
      </c>
      <c r="E380" s="111"/>
      <c r="F380" s="112" t="s">
        <v>1613</v>
      </c>
      <c r="G380" s="113" t="s">
        <v>1262</v>
      </c>
      <c r="H380" s="139"/>
      <c r="I380" s="140" t="s">
        <v>1605</v>
      </c>
      <c r="J380" s="210"/>
      <c r="K380" s="250">
        <v>20</v>
      </c>
      <c r="L380" s="251" t="s">
        <v>1614</v>
      </c>
      <c r="M380" s="279">
        <f>(1051917/1300)-K380</f>
        <v>789.16692307692313</v>
      </c>
      <c r="N380" s="280">
        <f>42596/1300</f>
        <v>32.766153846153848</v>
      </c>
      <c r="O380" s="279">
        <f>(1051917/1000)-K380</f>
        <v>1031.9169999999999</v>
      </c>
      <c r="P380" s="281">
        <f>52596/1000</f>
        <v>52.595999999999997</v>
      </c>
      <c r="Q380" s="418">
        <v>19</v>
      </c>
      <c r="R380" s="419" t="s">
        <v>1615</v>
      </c>
      <c r="S380" s="439">
        <f>(578592/1300)-Q380</f>
        <v>426.07076923076926</v>
      </c>
      <c r="T380" s="440">
        <f>30452/1300</f>
        <v>23.424615384615386</v>
      </c>
      <c r="U380" s="439">
        <f>(578592/1000)-Q380</f>
        <v>559.59199999999998</v>
      </c>
      <c r="V380" s="441">
        <f>30452/1000</f>
        <v>30.452000000000002</v>
      </c>
      <c r="W380" s="617">
        <v>0</v>
      </c>
      <c r="X380" s="598" t="s">
        <v>61</v>
      </c>
      <c r="Y380" s="644">
        <f>(189789/1300)-W380</f>
        <v>145.99153846153845</v>
      </c>
      <c r="Z380" s="645" t="s">
        <v>61</v>
      </c>
      <c r="AA380" s="644">
        <f>(189789/1000)-W380</f>
        <v>189.78899999999999</v>
      </c>
      <c r="AB380" s="646" t="s">
        <v>61</v>
      </c>
      <c r="AC380" s="781">
        <v>1</v>
      </c>
      <c r="AD380" s="782" t="s">
        <v>150</v>
      </c>
      <c r="AE380" s="804">
        <f>(263509/1300)-AC380</f>
        <v>201.69923076923078</v>
      </c>
      <c r="AF380" s="805">
        <f>263509/1300</f>
        <v>202.69923076923078</v>
      </c>
      <c r="AG380" s="804">
        <f>(263509/1000)-AC380</f>
        <v>262.50900000000001</v>
      </c>
      <c r="AH380" s="964">
        <f>263509/1000</f>
        <v>263.50900000000001</v>
      </c>
      <c r="AI380" s="931"/>
    </row>
    <row r="381" spans="1:35" ht="51.75" x14ac:dyDescent="0.25">
      <c r="A381" s="110" t="s">
        <v>1616</v>
      </c>
      <c r="B381" s="111" t="s">
        <v>40</v>
      </c>
      <c r="C381" s="111" t="s">
        <v>1544</v>
      </c>
      <c r="D381" s="111" t="s">
        <v>1617</v>
      </c>
      <c r="E381" s="111"/>
      <c r="F381" s="112" t="s">
        <v>1618</v>
      </c>
      <c r="G381" s="113" t="s">
        <v>1262</v>
      </c>
      <c r="H381" s="139"/>
      <c r="I381" s="140"/>
      <c r="J381" s="210"/>
      <c r="K381" s="250"/>
      <c r="L381" s="251"/>
      <c r="M381" s="252"/>
      <c r="N381" s="253"/>
      <c r="O381" s="252"/>
      <c r="P381" s="254"/>
      <c r="Q381" s="418"/>
      <c r="R381" s="419"/>
      <c r="S381" s="420"/>
      <c r="T381" s="421"/>
      <c r="U381" s="420"/>
      <c r="V381" s="422"/>
      <c r="W381" s="597"/>
      <c r="X381" s="598"/>
      <c r="Y381" s="599"/>
      <c r="Z381" s="600"/>
      <c r="AA381" s="599"/>
      <c r="AB381" s="601"/>
      <c r="AC381" s="781"/>
      <c r="AD381" s="782"/>
      <c r="AE381" s="783"/>
      <c r="AF381" s="784"/>
      <c r="AG381" s="783"/>
      <c r="AH381" s="957"/>
      <c r="AI381" s="931"/>
    </row>
    <row r="382" spans="1:35" ht="51.75" x14ac:dyDescent="0.25">
      <c r="A382" s="110" t="s">
        <v>1619</v>
      </c>
      <c r="B382" s="111" t="s">
        <v>40</v>
      </c>
      <c r="C382" s="111" t="s">
        <v>1544</v>
      </c>
      <c r="D382" s="111" t="s">
        <v>1617</v>
      </c>
      <c r="E382" s="111"/>
      <c r="F382" s="112" t="s">
        <v>1620</v>
      </c>
      <c r="G382" s="113" t="s">
        <v>1262</v>
      </c>
      <c r="H382" s="139"/>
      <c r="I382" s="140"/>
      <c r="J382" s="210"/>
      <c r="K382" s="250"/>
      <c r="L382" s="251"/>
      <c r="M382" s="252"/>
      <c r="N382" s="253"/>
      <c r="O382" s="252"/>
      <c r="P382" s="254"/>
      <c r="Q382" s="418"/>
      <c r="R382" s="419"/>
      <c r="S382" s="420"/>
      <c r="T382" s="421"/>
      <c r="U382" s="420"/>
      <c r="V382" s="422"/>
      <c r="W382" s="597"/>
      <c r="X382" s="598"/>
      <c r="Y382" s="599"/>
      <c r="Z382" s="600"/>
      <c r="AA382" s="599"/>
      <c r="AB382" s="601"/>
      <c r="AC382" s="781"/>
      <c r="AD382" s="782"/>
      <c r="AE382" s="783"/>
      <c r="AF382" s="784"/>
      <c r="AG382" s="783"/>
      <c r="AH382" s="957"/>
      <c r="AI382" s="931"/>
    </row>
    <row r="383" spans="1:35" ht="51.75" x14ac:dyDescent="0.25">
      <c r="A383" s="110" t="s">
        <v>1621</v>
      </c>
      <c r="B383" s="111" t="s">
        <v>40</v>
      </c>
      <c r="C383" s="111" t="s">
        <v>1544</v>
      </c>
      <c r="D383" s="111" t="s">
        <v>1617</v>
      </c>
      <c r="E383" s="111"/>
      <c r="F383" s="112" t="s">
        <v>1622</v>
      </c>
      <c r="G383" s="113" t="s">
        <v>1262</v>
      </c>
      <c r="H383" s="139"/>
      <c r="I383" s="140"/>
      <c r="J383" s="210"/>
      <c r="K383" s="250"/>
      <c r="L383" s="251"/>
      <c r="M383" s="252"/>
      <c r="N383" s="253"/>
      <c r="O383" s="252"/>
      <c r="P383" s="254"/>
      <c r="Q383" s="418"/>
      <c r="R383" s="419"/>
      <c r="S383" s="420"/>
      <c r="T383" s="421"/>
      <c r="U383" s="420"/>
      <c r="V383" s="422"/>
      <c r="W383" s="597"/>
      <c r="X383" s="598"/>
      <c r="Y383" s="599"/>
      <c r="Z383" s="600"/>
      <c r="AA383" s="599"/>
      <c r="AB383" s="601"/>
      <c r="AC383" s="781"/>
      <c r="AD383" s="782"/>
      <c r="AE383" s="783"/>
      <c r="AF383" s="784"/>
      <c r="AG383" s="783"/>
      <c r="AH383" s="957"/>
      <c r="AI383" s="931"/>
    </row>
    <row r="384" spans="1:35" ht="51.75" x14ac:dyDescent="0.25">
      <c r="A384" s="110" t="s">
        <v>1623</v>
      </c>
      <c r="B384" s="111" t="s">
        <v>40</v>
      </c>
      <c r="C384" s="111" t="s">
        <v>1544</v>
      </c>
      <c r="D384" s="111" t="s">
        <v>1566</v>
      </c>
      <c r="E384" s="111"/>
      <c r="F384" s="112" t="s">
        <v>1624</v>
      </c>
      <c r="G384" s="113" t="s">
        <v>1262</v>
      </c>
      <c r="H384" s="139"/>
      <c r="I384" s="140"/>
      <c r="J384" s="210"/>
      <c r="K384" s="250"/>
      <c r="L384" s="251"/>
      <c r="M384" s="252"/>
      <c r="N384" s="253"/>
      <c r="O384" s="252"/>
      <c r="P384" s="254"/>
      <c r="Q384" s="418"/>
      <c r="R384" s="419"/>
      <c r="S384" s="420"/>
      <c r="T384" s="421"/>
      <c r="U384" s="420"/>
      <c r="V384" s="422"/>
      <c r="W384" s="597"/>
      <c r="X384" s="598"/>
      <c r="Y384" s="599"/>
      <c r="Z384" s="600"/>
      <c r="AA384" s="599"/>
      <c r="AB384" s="601"/>
      <c r="AC384" s="781"/>
      <c r="AD384" s="782"/>
      <c r="AE384" s="783"/>
      <c r="AF384" s="784"/>
      <c r="AG384" s="783"/>
      <c r="AH384" s="957"/>
      <c r="AI384" s="931"/>
    </row>
    <row r="385" spans="1:35" ht="51.75" x14ac:dyDescent="0.25">
      <c r="A385" s="110" t="s">
        <v>1625</v>
      </c>
      <c r="B385" s="111" t="s">
        <v>40</v>
      </c>
      <c r="C385" s="111" t="s">
        <v>1544</v>
      </c>
      <c r="D385" s="111" t="s">
        <v>1566</v>
      </c>
      <c r="E385" s="111"/>
      <c r="F385" s="112" t="s">
        <v>1626</v>
      </c>
      <c r="G385" s="113" t="s">
        <v>1262</v>
      </c>
      <c r="H385" s="139"/>
      <c r="I385" s="140"/>
      <c r="J385" s="210"/>
      <c r="K385" s="250"/>
      <c r="L385" s="251"/>
      <c r="M385" s="252"/>
      <c r="N385" s="253"/>
      <c r="O385" s="252"/>
      <c r="P385" s="254"/>
      <c r="Q385" s="418"/>
      <c r="R385" s="419"/>
      <c r="S385" s="420"/>
      <c r="T385" s="421"/>
      <c r="U385" s="420"/>
      <c r="V385" s="422"/>
      <c r="W385" s="597"/>
      <c r="X385" s="598"/>
      <c r="Y385" s="599"/>
      <c r="Z385" s="600"/>
      <c r="AA385" s="599"/>
      <c r="AB385" s="601"/>
      <c r="AC385" s="781"/>
      <c r="AD385" s="782"/>
      <c r="AE385" s="783"/>
      <c r="AF385" s="784"/>
      <c r="AG385" s="783"/>
      <c r="AH385" s="957"/>
      <c r="AI385" s="931"/>
    </row>
    <row r="386" spans="1:35" ht="51.75" x14ac:dyDescent="0.25">
      <c r="A386" s="110" t="s">
        <v>1627</v>
      </c>
      <c r="B386" s="111" t="s">
        <v>40</v>
      </c>
      <c r="C386" s="111" t="s">
        <v>1544</v>
      </c>
      <c r="D386" s="111" t="s">
        <v>1566</v>
      </c>
      <c r="E386" s="111"/>
      <c r="F386" s="112" t="s">
        <v>1628</v>
      </c>
      <c r="G386" s="113" t="s">
        <v>1262</v>
      </c>
      <c r="H386" s="139"/>
      <c r="I386" s="140"/>
      <c r="J386" s="210"/>
      <c r="K386" s="250"/>
      <c r="L386" s="251"/>
      <c r="M386" s="252"/>
      <c r="N386" s="253"/>
      <c r="O386" s="252"/>
      <c r="P386" s="254"/>
      <c r="Q386" s="418"/>
      <c r="R386" s="419"/>
      <c r="S386" s="420"/>
      <c r="T386" s="421"/>
      <c r="U386" s="420"/>
      <c r="V386" s="422"/>
      <c r="W386" s="597"/>
      <c r="X386" s="598"/>
      <c r="Y386" s="599"/>
      <c r="Z386" s="600"/>
      <c r="AA386" s="599"/>
      <c r="AB386" s="601"/>
      <c r="AC386" s="781"/>
      <c r="AD386" s="782"/>
      <c r="AE386" s="783"/>
      <c r="AF386" s="784"/>
      <c r="AG386" s="783"/>
      <c r="AH386" s="957"/>
      <c r="AI386" s="931"/>
    </row>
    <row r="387" spans="1:35" ht="64.5" x14ac:dyDescent="0.25">
      <c r="A387" s="110" t="s">
        <v>1629</v>
      </c>
      <c r="B387" s="111" t="s">
        <v>40</v>
      </c>
      <c r="C387" s="111" t="s">
        <v>1544</v>
      </c>
      <c r="D387" s="111" t="s">
        <v>1566</v>
      </c>
      <c r="E387" s="111"/>
      <c r="F387" s="112" t="s">
        <v>1630</v>
      </c>
      <c r="G387" s="113" t="s">
        <v>1262</v>
      </c>
      <c r="H387" s="139"/>
      <c r="I387" s="140"/>
      <c r="J387" s="210"/>
      <c r="K387" s="250"/>
      <c r="L387" s="251"/>
      <c r="M387" s="252"/>
      <c r="N387" s="253"/>
      <c r="O387" s="252"/>
      <c r="P387" s="254"/>
      <c r="Q387" s="418"/>
      <c r="R387" s="419"/>
      <c r="S387" s="420"/>
      <c r="T387" s="421"/>
      <c r="U387" s="420"/>
      <c r="V387" s="422"/>
      <c r="W387" s="597"/>
      <c r="X387" s="598"/>
      <c r="Y387" s="599"/>
      <c r="Z387" s="600"/>
      <c r="AA387" s="599"/>
      <c r="AB387" s="601"/>
      <c r="AC387" s="781"/>
      <c r="AD387" s="782"/>
      <c r="AE387" s="783"/>
      <c r="AF387" s="784"/>
      <c r="AG387" s="783"/>
      <c r="AH387" s="957"/>
      <c r="AI387" s="931"/>
    </row>
    <row r="388" spans="1:35" ht="30" x14ac:dyDescent="0.25">
      <c r="A388" s="27" t="s">
        <v>1604</v>
      </c>
      <c r="B388" s="28" t="s">
        <v>40</v>
      </c>
      <c r="C388" s="28" t="s">
        <v>1544</v>
      </c>
      <c r="D388" s="28" t="s">
        <v>1566</v>
      </c>
      <c r="E388" s="28"/>
      <c r="F388" s="29" t="s">
        <v>72</v>
      </c>
      <c r="G388" s="30" t="s">
        <v>1566</v>
      </c>
      <c r="H388" s="74" t="s">
        <v>1631</v>
      </c>
      <c r="I388" s="115" t="s">
        <v>1605</v>
      </c>
      <c r="J388" s="211"/>
      <c r="K388" s="261">
        <v>682</v>
      </c>
      <c r="L388" s="262" t="s">
        <v>1632</v>
      </c>
      <c r="M388" s="266">
        <f>(1051917/1300)-K388</f>
        <v>127.16692307692313</v>
      </c>
      <c r="N388" s="267">
        <f>1542/1300</f>
        <v>1.1861538461538461</v>
      </c>
      <c r="O388" s="266">
        <f>(1051917/1000)-K388</f>
        <v>369.91699999999992</v>
      </c>
      <c r="P388" s="268">
        <f>1542/1000</f>
        <v>1.542</v>
      </c>
      <c r="Q388" s="431">
        <v>493</v>
      </c>
      <c r="R388" s="432" t="s">
        <v>1633</v>
      </c>
      <c r="S388" s="455">
        <f>(578592/1300)-Q388</f>
        <v>-47.929230769230742</v>
      </c>
      <c r="T388" s="456">
        <f>1174/1300</f>
        <v>0.90307692307692311</v>
      </c>
      <c r="U388" s="455">
        <f>(578592/1000)-Q388</f>
        <v>85.591999999999985</v>
      </c>
      <c r="V388" s="457">
        <f>1174/1000</f>
        <v>1.1739999999999999</v>
      </c>
      <c r="W388" s="611">
        <v>82</v>
      </c>
      <c r="X388" s="612" t="s">
        <v>1608</v>
      </c>
      <c r="Y388" s="627">
        <f>(189789/1300)-W388</f>
        <v>63.991538461538454</v>
      </c>
      <c r="Z388" s="642">
        <v>1.7807692307692307</v>
      </c>
      <c r="AA388" s="627">
        <f>(189789/1000)-W388</f>
        <v>107.78899999999999</v>
      </c>
      <c r="AB388" s="643">
        <v>2.3149999999999999</v>
      </c>
      <c r="AC388" s="792">
        <v>107</v>
      </c>
      <c r="AD388" s="793" t="s">
        <v>1634</v>
      </c>
      <c r="AE388" s="799">
        <f>(263509/1300)-AC388</f>
        <v>95.69923076923078</v>
      </c>
      <c r="AF388" s="817">
        <f>2462/1300</f>
        <v>1.893846153846154</v>
      </c>
      <c r="AG388" s="799">
        <f>(263509/1000)-AC388</f>
        <v>156.50900000000001</v>
      </c>
      <c r="AH388" s="968">
        <f>2462/1000</f>
        <v>2.4620000000000002</v>
      </c>
      <c r="AI388" s="915"/>
    </row>
    <row r="389" spans="1:35" ht="27" thickBot="1" x14ac:dyDescent="0.3">
      <c r="A389" s="141" t="s">
        <v>1635</v>
      </c>
      <c r="B389" s="142" t="s">
        <v>40</v>
      </c>
      <c r="C389" s="142" t="s">
        <v>1544</v>
      </c>
      <c r="D389" s="142" t="s">
        <v>1636</v>
      </c>
      <c r="E389" s="142"/>
      <c r="F389" s="143"/>
      <c r="G389" s="144" t="s">
        <v>1636</v>
      </c>
      <c r="H389" s="141" t="s">
        <v>1563</v>
      </c>
      <c r="I389" s="142" t="s">
        <v>83</v>
      </c>
      <c r="J389" s="220"/>
      <c r="K389" s="320"/>
      <c r="L389" s="321"/>
      <c r="M389" s="322"/>
      <c r="N389" s="323"/>
      <c r="O389" s="322"/>
      <c r="P389" s="324"/>
      <c r="Q389" s="495"/>
      <c r="R389" s="496"/>
      <c r="S389" s="497"/>
      <c r="T389" s="498"/>
      <c r="U389" s="497"/>
      <c r="V389" s="499"/>
      <c r="W389" s="679"/>
      <c r="X389" s="680"/>
      <c r="Y389" s="681"/>
      <c r="Z389" s="682"/>
      <c r="AA389" s="681"/>
      <c r="AB389" s="683"/>
      <c r="AC389" s="842"/>
      <c r="AD389" s="843"/>
      <c r="AE389" s="844"/>
      <c r="AF389" s="845"/>
      <c r="AG389" s="844"/>
      <c r="AH389" s="975"/>
      <c r="AI389" s="936" t="s">
        <v>1637</v>
      </c>
    </row>
    <row r="390" spans="1:35" ht="26.25" x14ac:dyDescent="0.25">
      <c r="A390" s="145" t="s">
        <v>1638</v>
      </c>
      <c r="B390" s="146" t="s">
        <v>40</v>
      </c>
      <c r="C390" s="146" t="s">
        <v>1639</v>
      </c>
      <c r="D390" s="146" t="s">
        <v>1640</v>
      </c>
      <c r="E390" s="146"/>
      <c r="F390" s="147"/>
      <c r="G390" s="148" t="s">
        <v>1640</v>
      </c>
      <c r="H390" s="145"/>
      <c r="I390" s="146" t="s">
        <v>276</v>
      </c>
      <c r="J390" s="209"/>
      <c r="K390" s="245"/>
      <c r="L390" s="246"/>
      <c r="M390" s="247"/>
      <c r="N390" s="248"/>
      <c r="O390" s="247"/>
      <c r="P390" s="249"/>
      <c r="Q390" s="413"/>
      <c r="R390" s="414"/>
      <c r="S390" s="415"/>
      <c r="T390" s="416"/>
      <c r="U390" s="415"/>
      <c r="V390" s="417"/>
      <c r="W390" s="592"/>
      <c r="X390" s="593"/>
      <c r="Y390" s="594"/>
      <c r="Z390" s="595"/>
      <c r="AA390" s="594"/>
      <c r="AB390" s="596"/>
      <c r="AC390" s="777"/>
      <c r="AD390" s="778"/>
      <c r="AE390" s="779"/>
      <c r="AF390" s="780"/>
      <c r="AG390" s="779"/>
      <c r="AH390" s="956"/>
      <c r="AI390" s="937"/>
    </row>
    <row r="391" spans="1:35" ht="26.25" x14ac:dyDescent="0.25">
      <c r="A391" s="32" t="s">
        <v>1641</v>
      </c>
      <c r="B391" s="33" t="s">
        <v>40</v>
      </c>
      <c r="C391" s="33" t="s">
        <v>1639</v>
      </c>
      <c r="D391" s="33" t="s">
        <v>1642</v>
      </c>
      <c r="E391" s="33"/>
      <c r="F391" s="34"/>
      <c r="G391" s="35" t="s">
        <v>1643</v>
      </c>
      <c r="H391" s="32"/>
      <c r="I391" s="33" t="s">
        <v>276</v>
      </c>
      <c r="J391" s="210"/>
      <c r="K391" s="250"/>
      <c r="L391" s="251"/>
      <c r="M391" s="252"/>
      <c r="N391" s="253"/>
      <c r="O391" s="252"/>
      <c r="P391" s="254"/>
      <c r="Q391" s="418"/>
      <c r="R391" s="419"/>
      <c r="S391" s="420"/>
      <c r="T391" s="421"/>
      <c r="U391" s="420"/>
      <c r="V391" s="422"/>
      <c r="W391" s="597"/>
      <c r="X391" s="598"/>
      <c r="Y391" s="599"/>
      <c r="Z391" s="600"/>
      <c r="AA391" s="599"/>
      <c r="AB391" s="601"/>
      <c r="AC391" s="781"/>
      <c r="AD391" s="782"/>
      <c r="AE391" s="783"/>
      <c r="AF391" s="784"/>
      <c r="AG391" s="783"/>
      <c r="AH391" s="957"/>
      <c r="AI391" s="916" t="s">
        <v>1644</v>
      </c>
    </row>
    <row r="392" spans="1:35" ht="26.25" x14ac:dyDescent="0.25">
      <c r="A392" s="18" t="s">
        <v>1645</v>
      </c>
      <c r="B392" s="19" t="s">
        <v>40</v>
      </c>
      <c r="C392" s="19" t="s">
        <v>1639</v>
      </c>
      <c r="D392" s="19" t="s">
        <v>1646</v>
      </c>
      <c r="E392" s="19" t="s">
        <v>1647</v>
      </c>
      <c r="F392" s="20"/>
      <c r="G392" s="21" t="s">
        <v>1648</v>
      </c>
      <c r="H392" s="18"/>
      <c r="I392" s="19" t="s">
        <v>432</v>
      </c>
      <c r="J392" s="210"/>
      <c r="K392" s="250"/>
      <c r="L392" s="251"/>
      <c r="M392" s="252"/>
      <c r="N392" s="253"/>
      <c r="O392" s="252"/>
      <c r="P392" s="254"/>
      <c r="Q392" s="418"/>
      <c r="R392" s="419"/>
      <c r="S392" s="420"/>
      <c r="T392" s="421"/>
      <c r="U392" s="420"/>
      <c r="V392" s="422"/>
      <c r="W392" s="597"/>
      <c r="X392" s="598"/>
      <c r="Y392" s="599"/>
      <c r="Z392" s="600"/>
      <c r="AA392" s="599"/>
      <c r="AB392" s="601"/>
      <c r="AC392" s="781"/>
      <c r="AD392" s="782"/>
      <c r="AE392" s="783"/>
      <c r="AF392" s="784"/>
      <c r="AG392" s="783"/>
      <c r="AH392" s="957"/>
      <c r="AI392" s="913" t="s">
        <v>1649</v>
      </c>
    </row>
    <row r="393" spans="1:35" ht="26.25" x14ac:dyDescent="0.25">
      <c r="A393" s="18" t="s">
        <v>1650</v>
      </c>
      <c r="B393" s="19" t="s">
        <v>40</v>
      </c>
      <c r="C393" s="19" t="s">
        <v>1639</v>
      </c>
      <c r="D393" s="19" t="s">
        <v>1646</v>
      </c>
      <c r="E393" s="19" t="s">
        <v>1651</v>
      </c>
      <c r="F393" s="20"/>
      <c r="G393" s="21" t="s">
        <v>1652</v>
      </c>
      <c r="H393" s="18"/>
      <c r="I393" s="19" t="s">
        <v>276</v>
      </c>
      <c r="J393" s="210"/>
      <c r="K393" s="250"/>
      <c r="L393" s="251"/>
      <c r="M393" s="252"/>
      <c r="N393" s="253"/>
      <c r="O393" s="252"/>
      <c r="P393" s="254"/>
      <c r="Q393" s="418"/>
      <c r="R393" s="419"/>
      <c r="S393" s="420"/>
      <c r="T393" s="421"/>
      <c r="U393" s="420"/>
      <c r="V393" s="422"/>
      <c r="W393" s="597"/>
      <c r="X393" s="598"/>
      <c r="Y393" s="599"/>
      <c r="Z393" s="600"/>
      <c r="AA393" s="599"/>
      <c r="AB393" s="601"/>
      <c r="AC393" s="781"/>
      <c r="AD393" s="782"/>
      <c r="AE393" s="783"/>
      <c r="AF393" s="784"/>
      <c r="AG393" s="783"/>
      <c r="AH393" s="957"/>
      <c r="AI393" s="913" t="s">
        <v>1653</v>
      </c>
    </row>
    <row r="394" spans="1:35" ht="39" x14ac:dyDescent="0.25">
      <c r="A394" s="18" t="s">
        <v>1654</v>
      </c>
      <c r="B394" s="19" t="s">
        <v>40</v>
      </c>
      <c r="C394" s="19" t="s">
        <v>1639</v>
      </c>
      <c r="D394" s="19" t="s">
        <v>1646</v>
      </c>
      <c r="E394" s="19" t="s">
        <v>1655</v>
      </c>
      <c r="F394" s="20"/>
      <c r="G394" s="21" t="s">
        <v>1656</v>
      </c>
      <c r="H394" s="18"/>
      <c r="I394" s="19" t="s">
        <v>276</v>
      </c>
      <c r="J394" s="210"/>
      <c r="K394" s="250"/>
      <c r="L394" s="251"/>
      <c r="M394" s="252"/>
      <c r="N394" s="253"/>
      <c r="O394" s="252"/>
      <c r="P394" s="254"/>
      <c r="Q394" s="418"/>
      <c r="R394" s="419"/>
      <c r="S394" s="420"/>
      <c r="T394" s="421"/>
      <c r="U394" s="420"/>
      <c r="V394" s="422"/>
      <c r="W394" s="597"/>
      <c r="X394" s="598"/>
      <c r="Y394" s="599"/>
      <c r="Z394" s="600"/>
      <c r="AA394" s="599"/>
      <c r="AB394" s="601"/>
      <c r="AC394" s="781"/>
      <c r="AD394" s="782"/>
      <c r="AE394" s="783"/>
      <c r="AF394" s="784"/>
      <c r="AG394" s="783"/>
      <c r="AH394" s="957"/>
      <c r="AI394" s="913" t="s">
        <v>1649</v>
      </c>
    </row>
    <row r="395" spans="1:35" ht="26.25" x14ac:dyDescent="0.25">
      <c r="A395" s="18" t="s">
        <v>1657</v>
      </c>
      <c r="B395" s="19" t="s">
        <v>40</v>
      </c>
      <c r="C395" s="19" t="s">
        <v>1639</v>
      </c>
      <c r="D395" s="19" t="s">
        <v>1646</v>
      </c>
      <c r="E395" s="19" t="s">
        <v>1658</v>
      </c>
      <c r="F395" s="20"/>
      <c r="G395" s="21" t="s">
        <v>1659</v>
      </c>
      <c r="H395" s="18"/>
      <c r="I395" s="19" t="s">
        <v>276</v>
      </c>
      <c r="J395" s="210"/>
      <c r="K395" s="250"/>
      <c r="L395" s="251"/>
      <c r="M395" s="252"/>
      <c r="N395" s="253"/>
      <c r="O395" s="252"/>
      <c r="P395" s="254"/>
      <c r="Q395" s="418"/>
      <c r="R395" s="419"/>
      <c r="S395" s="420"/>
      <c r="T395" s="421"/>
      <c r="U395" s="420"/>
      <c r="V395" s="422"/>
      <c r="W395" s="597"/>
      <c r="X395" s="598"/>
      <c r="Y395" s="599"/>
      <c r="Z395" s="600"/>
      <c r="AA395" s="599"/>
      <c r="AB395" s="601"/>
      <c r="AC395" s="781"/>
      <c r="AD395" s="782"/>
      <c r="AE395" s="783"/>
      <c r="AF395" s="784"/>
      <c r="AG395" s="783"/>
      <c r="AH395" s="957"/>
      <c r="AI395" s="913" t="s">
        <v>1649</v>
      </c>
    </row>
    <row r="396" spans="1:35" ht="26.25" x14ac:dyDescent="0.25">
      <c r="A396" s="18" t="s">
        <v>1660</v>
      </c>
      <c r="B396" s="19" t="s">
        <v>40</v>
      </c>
      <c r="C396" s="19" t="s">
        <v>1639</v>
      </c>
      <c r="D396" s="19" t="s">
        <v>1646</v>
      </c>
      <c r="E396" s="19" t="s">
        <v>1661</v>
      </c>
      <c r="F396" s="20"/>
      <c r="G396" s="21" t="s">
        <v>1662</v>
      </c>
      <c r="H396" s="18"/>
      <c r="I396" s="19" t="s">
        <v>276</v>
      </c>
      <c r="J396" s="210"/>
      <c r="K396" s="250"/>
      <c r="L396" s="251"/>
      <c r="M396" s="252"/>
      <c r="N396" s="253"/>
      <c r="O396" s="252"/>
      <c r="P396" s="254"/>
      <c r="Q396" s="418"/>
      <c r="R396" s="419"/>
      <c r="S396" s="420"/>
      <c r="T396" s="421"/>
      <c r="U396" s="420"/>
      <c r="V396" s="422"/>
      <c r="W396" s="597"/>
      <c r="X396" s="598"/>
      <c r="Y396" s="599"/>
      <c r="Z396" s="600"/>
      <c r="AA396" s="599"/>
      <c r="AB396" s="601"/>
      <c r="AC396" s="781"/>
      <c r="AD396" s="782"/>
      <c r="AE396" s="783"/>
      <c r="AF396" s="784"/>
      <c r="AG396" s="783"/>
      <c r="AH396" s="957"/>
      <c r="AI396" s="913" t="s">
        <v>1663</v>
      </c>
    </row>
    <row r="397" spans="1:35" ht="39" x14ac:dyDescent="0.25">
      <c r="A397" s="18" t="s">
        <v>1664</v>
      </c>
      <c r="B397" s="19" t="s">
        <v>40</v>
      </c>
      <c r="C397" s="19" t="s">
        <v>1639</v>
      </c>
      <c r="D397" s="19" t="s">
        <v>1646</v>
      </c>
      <c r="E397" s="19" t="s">
        <v>1665</v>
      </c>
      <c r="F397" s="20"/>
      <c r="G397" s="21" t="s">
        <v>1666</v>
      </c>
      <c r="H397" s="18"/>
      <c r="I397" s="19" t="s">
        <v>213</v>
      </c>
      <c r="J397" s="210"/>
      <c r="K397" s="250"/>
      <c r="L397" s="251"/>
      <c r="M397" s="252"/>
      <c r="N397" s="253"/>
      <c r="O397" s="252"/>
      <c r="P397" s="254"/>
      <c r="Q397" s="418"/>
      <c r="R397" s="419"/>
      <c r="S397" s="420"/>
      <c r="T397" s="421"/>
      <c r="U397" s="420"/>
      <c r="V397" s="422"/>
      <c r="W397" s="597"/>
      <c r="X397" s="598"/>
      <c r="Y397" s="599"/>
      <c r="Z397" s="600"/>
      <c r="AA397" s="599"/>
      <c r="AB397" s="601"/>
      <c r="AC397" s="781"/>
      <c r="AD397" s="782"/>
      <c r="AE397" s="783"/>
      <c r="AF397" s="784"/>
      <c r="AG397" s="783"/>
      <c r="AH397" s="957"/>
      <c r="AI397" s="913" t="s">
        <v>1649</v>
      </c>
    </row>
    <row r="398" spans="1:35" ht="26.25" x14ac:dyDescent="0.25">
      <c r="A398" s="18" t="s">
        <v>1667</v>
      </c>
      <c r="B398" s="19" t="s">
        <v>40</v>
      </c>
      <c r="C398" s="19" t="s">
        <v>1639</v>
      </c>
      <c r="D398" s="19" t="s">
        <v>1646</v>
      </c>
      <c r="E398" s="19" t="s">
        <v>1668</v>
      </c>
      <c r="F398" s="20"/>
      <c r="G398" s="21" t="s">
        <v>1669</v>
      </c>
      <c r="H398" s="18"/>
      <c r="I398" s="19" t="s">
        <v>191</v>
      </c>
      <c r="J398" s="210"/>
      <c r="K398" s="250"/>
      <c r="L398" s="251"/>
      <c r="M398" s="252"/>
      <c r="N398" s="253"/>
      <c r="O398" s="252"/>
      <c r="P398" s="254"/>
      <c r="Q398" s="418"/>
      <c r="R398" s="419"/>
      <c r="S398" s="420"/>
      <c r="T398" s="421"/>
      <c r="U398" s="420"/>
      <c r="V398" s="422"/>
      <c r="W398" s="597"/>
      <c r="X398" s="598"/>
      <c r="Y398" s="599"/>
      <c r="Z398" s="600"/>
      <c r="AA398" s="599"/>
      <c r="AB398" s="601"/>
      <c r="AC398" s="781"/>
      <c r="AD398" s="782"/>
      <c r="AE398" s="783"/>
      <c r="AF398" s="784"/>
      <c r="AG398" s="783"/>
      <c r="AH398" s="957"/>
      <c r="AI398" s="913" t="s">
        <v>1663</v>
      </c>
    </row>
    <row r="399" spans="1:35" ht="39" x14ac:dyDescent="0.25">
      <c r="A399" s="18" t="s">
        <v>1670</v>
      </c>
      <c r="B399" s="19" t="s">
        <v>40</v>
      </c>
      <c r="C399" s="19" t="s">
        <v>1639</v>
      </c>
      <c r="D399" s="19" t="s">
        <v>1646</v>
      </c>
      <c r="E399" s="19" t="s">
        <v>1671</v>
      </c>
      <c r="F399" s="20"/>
      <c r="G399" s="21" t="s">
        <v>1672</v>
      </c>
      <c r="H399" s="18"/>
      <c r="I399" s="19" t="s">
        <v>89</v>
      </c>
      <c r="J399" s="210"/>
      <c r="K399" s="250"/>
      <c r="L399" s="251"/>
      <c r="M399" s="252"/>
      <c r="N399" s="253"/>
      <c r="O399" s="252"/>
      <c r="P399" s="254"/>
      <c r="Q399" s="418"/>
      <c r="R399" s="419"/>
      <c r="S399" s="420"/>
      <c r="T399" s="421"/>
      <c r="U399" s="420"/>
      <c r="V399" s="422"/>
      <c r="W399" s="597"/>
      <c r="X399" s="598"/>
      <c r="Y399" s="599"/>
      <c r="Z399" s="600"/>
      <c r="AA399" s="599"/>
      <c r="AB399" s="601"/>
      <c r="AC399" s="781"/>
      <c r="AD399" s="782"/>
      <c r="AE399" s="783"/>
      <c r="AF399" s="784"/>
      <c r="AG399" s="783"/>
      <c r="AH399" s="957"/>
      <c r="AI399" s="913" t="s">
        <v>1649</v>
      </c>
    </row>
    <row r="400" spans="1:35" ht="77.25" x14ac:dyDescent="0.25">
      <c r="A400" s="110" t="s">
        <v>1673</v>
      </c>
      <c r="B400" s="111" t="s">
        <v>40</v>
      </c>
      <c r="C400" s="111" t="s">
        <v>1639</v>
      </c>
      <c r="D400" s="111" t="s">
        <v>1646</v>
      </c>
      <c r="E400" s="111"/>
      <c r="F400" s="112" t="s">
        <v>1674</v>
      </c>
      <c r="G400" s="113" t="s">
        <v>1262</v>
      </c>
      <c r="H400" s="110"/>
      <c r="I400" s="111"/>
      <c r="J400" s="210"/>
      <c r="K400" s="250"/>
      <c r="L400" s="251"/>
      <c r="M400" s="252"/>
      <c r="N400" s="253"/>
      <c r="O400" s="252"/>
      <c r="P400" s="254"/>
      <c r="Q400" s="418"/>
      <c r="R400" s="419"/>
      <c r="S400" s="420"/>
      <c r="T400" s="421"/>
      <c r="U400" s="420"/>
      <c r="V400" s="422"/>
      <c r="W400" s="597"/>
      <c r="X400" s="598"/>
      <c r="Y400" s="599"/>
      <c r="Z400" s="600"/>
      <c r="AA400" s="599"/>
      <c r="AB400" s="601"/>
      <c r="AC400" s="781"/>
      <c r="AD400" s="782"/>
      <c r="AE400" s="783"/>
      <c r="AF400" s="784"/>
      <c r="AG400" s="783"/>
      <c r="AH400" s="957"/>
      <c r="AI400" s="931"/>
    </row>
    <row r="401" spans="1:35" ht="51.75" x14ac:dyDescent="0.25">
      <c r="A401" s="110" t="s">
        <v>1675</v>
      </c>
      <c r="B401" s="111" t="s">
        <v>40</v>
      </c>
      <c r="C401" s="111" t="s">
        <v>1639</v>
      </c>
      <c r="D401" s="111" t="s">
        <v>1646</v>
      </c>
      <c r="E401" s="111"/>
      <c r="F401" s="112" t="s">
        <v>1309</v>
      </c>
      <c r="G401" s="113" t="s">
        <v>1262</v>
      </c>
      <c r="H401" s="110"/>
      <c r="I401" s="111"/>
      <c r="J401" s="210"/>
      <c r="K401" s="250"/>
      <c r="L401" s="251"/>
      <c r="M401" s="252"/>
      <c r="N401" s="253"/>
      <c r="O401" s="252"/>
      <c r="P401" s="254"/>
      <c r="Q401" s="418"/>
      <c r="R401" s="419"/>
      <c r="S401" s="420"/>
      <c r="T401" s="421"/>
      <c r="U401" s="420"/>
      <c r="V401" s="422"/>
      <c r="W401" s="597"/>
      <c r="X401" s="598"/>
      <c r="Y401" s="599"/>
      <c r="Z401" s="600"/>
      <c r="AA401" s="599"/>
      <c r="AB401" s="601"/>
      <c r="AC401" s="781"/>
      <c r="AD401" s="782"/>
      <c r="AE401" s="783"/>
      <c r="AF401" s="784"/>
      <c r="AG401" s="783"/>
      <c r="AH401" s="957"/>
      <c r="AI401" s="931"/>
    </row>
    <row r="402" spans="1:35" ht="45" x14ac:dyDescent="0.25">
      <c r="A402" s="27" t="s">
        <v>1676</v>
      </c>
      <c r="B402" s="28" t="s">
        <v>40</v>
      </c>
      <c r="C402" s="28" t="s">
        <v>1639</v>
      </c>
      <c r="D402" s="28" t="s">
        <v>1646</v>
      </c>
      <c r="E402" s="28"/>
      <c r="F402" s="29" t="s">
        <v>1677</v>
      </c>
      <c r="G402" s="30" t="s">
        <v>1678</v>
      </c>
      <c r="H402" s="27"/>
      <c r="I402" s="28" t="s">
        <v>260</v>
      </c>
      <c r="J402" s="211"/>
      <c r="K402" s="261">
        <v>318</v>
      </c>
      <c r="L402" s="262" t="s">
        <v>1679</v>
      </c>
      <c r="M402" s="263">
        <f>(1051917/10000)-K402</f>
        <v>-212.8083</v>
      </c>
      <c r="N402" s="264">
        <f>3308/10000</f>
        <v>0.33079999999999998</v>
      </c>
      <c r="O402" s="263">
        <f>(1051917/5000)-K402</f>
        <v>-107.61660000000001</v>
      </c>
      <c r="P402" s="265">
        <f>3308/5000</f>
        <v>0.66159999999999997</v>
      </c>
      <c r="Q402" s="431">
        <v>205</v>
      </c>
      <c r="R402" s="432" t="s">
        <v>1114</v>
      </c>
      <c r="S402" s="433">
        <f>(578592/10000)-Q402</f>
        <v>-147.14080000000001</v>
      </c>
      <c r="T402" s="434">
        <f>2822/10000</f>
        <v>0.28220000000000001</v>
      </c>
      <c r="U402" s="433">
        <f>(578592/5000)-Q402</f>
        <v>-89.281599999999997</v>
      </c>
      <c r="V402" s="435">
        <f>2822/5000</f>
        <v>0.56440000000000001</v>
      </c>
      <c r="W402" s="611">
        <v>46</v>
      </c>
      <c r="X402" s="612" t="s">
        <v>1680</v>
      </c>
      <c r="Y402" s="613">
        <f>(189789/10000)-W402</f>
        <v>-27.021100000000001</v>
      </c>
      <c r="Z402" s="614">
        <f>4162/10000</f>
        <v>0.41620000000000001</v>
      </c>
      <c r="AA402" s="613">
        <f>(189789/5000)-W402</f>
        <v>-8.0422000000000011</v>
      </c>
      <c r="AB402" s="615">
        <f>4126/5000</f>
        <v>0.82520000000000004</v>
      </c>
      <c r="AC402" s="792">
        <v>67</v>
      </c>
      <c r="AD402" s="793" t="s">
        <v>1681</v>
      </c>
      <c r="AE402" s="794">
        <f>(263509/10000)-AC402</f>
        <v>-40.649100000000004</v>
      </c>
      <c r="AF402" s="795">
        <f>3933/10000</f>
        <v>0.39329999999999998</v>
      </c>
      <c r="AG402" s="794">
        <f>(263509/5000)-AC402</f>
        <v>-14.298200000000001</v>
      </c>
      <c r="AH402" s="959">
        <f>3933/5000</f>
        <v>0.78659999999999997</v>
      </c>
      <c r="AI402" s="915" t="s">
        <v>1682</v>
      </c>
    </row>
    <row r="403" spans="1:35" ht="26.25" x14ac:dyDescent="0.25">
      <c r="A403" s="18" t="s">
        <v>1683</v>
      </c>
      <c r="B403" s="19" t="s">
        <v>40</v>
      </c>
      <c r="C403" s="19" t="s">
        <v>1639</v>
      </c>
      <c r="D403" s="19" t="s">
        <v>1684</v>
      </c>
      <c r="E403" s="19" t="s">
        <v>1685</v>
      </c>
      <c r="F403" s="20"/>
      <c r="G403" s="21" t="s">
        <v>1686</v>
      </c>
      <c r="H403" s="18"/>
      <c r="I403" s="19" t="s">
        <v>276</v>
      </c>
      <c r="J403" s="210"/>
      <c r="K403" s="250"/>
      <c r="L403" s="251"/>
      <c r="M403" s="252"/>
      <c r="N403" s="253"/>
      <c r="O403" s="252"/>
      <c r="P403" s="254"/>
      <c r="Q403" s="418"/>
      <c r="R403" s="419"/>
      <c r="S403" s="420"/>
      <c r="T403" s="421"/>
      <c r="U403" s="420"/>
      <c r="V403" s="422"/>
      <c r="W403" s="597"/>
      <c r="X403" s="598"/>
      <c r="Y403" s="599"/>
      <c r="Z403" s="600"/>
      <c r="AA403" s="599"/>
      <c r="AB403" s="601"/>
      <c r="AC403" s="781"/>
      <c r="AD403" s="782"/>
      <c r="AE403" s="783"/>
      <c r="AF403" s="784"/>
      <c r="AG403" s="783"/>
      <c r="AH403" s="957"/>
      <c r="AI403" s="913"/>
    </row>
    <row r="404" spans="1:35" ht="45.75" thickBot="1" x14ac:dyDescent="0.3">
      <c r="A404" s="149" t="s">
        <v>1687</v>
      </c>
      <c r="B404" s="150" t="s">
        <v>40</v>
      </c>
      <c r="C404" s="150" t="s">
        <v>1639</v>
      </c>
      <c r="D404" s="150" t="s">
        <v>1684</v>
      </c>
      <c r="E404" s="150"/>
      <c r="F404" s="127" t="s">
        <v>1677</v>
      </c>
      <c r="G404" s="151" t="s">
        <v>1684</v>
      </c>
      <c r="H404" s="149"/>
      <c r="I404" s="150" t="s">
        <v>260</v>
      </c>
      <c r="J404" s="223"/>
      <c r="K404" s="338" t="s">
        <v>1319</v>
      </c>
      <c r="L404" s="339" t="s">
        <v>1319</v>
      </c>
      <c r="M404" s="340" t="s">
        <v>1319</v>
      </c>
      <c r="N404" s="341" t="s">
        <v>1319</v>
      </c>
      <c r="O404" s="340" t="s">
        <v>1319</v>
      </c>
      <c r="P404" s="342" t="s">
        <v>1319</v>
      </c>
      <c r="Q404" s="513" t="s">
        <v>1319</v>
      </c>
      <c r="R404" s="514" t="s">
        <v>1319</v>
      </c>
      <c r="S404" s="515" t="s">
        <v>1319</v>
      </c>
      <c r="T404" s="516" t="s">
        <v>1319</v>
      </c>
      <c r="U404" s="515" t="s">
        <v>1319</v>
      </c>
      <c r="V404" s="517" t="s">
        <v>1319</v>
      </c>
      <c r="W404" s="697" t="s">
        <v>1319</v>
      </c>
      <c r="X404" s="698" t="s">
        <v>1319</v>
      </c>
      <c r="Y404" s="699" t="s">
        <v>1319</v>
      </c>
      <c r="Z404" s="700" t="s">
        <v>1319</v>
      </c>
      <c r="AA404" s="699" t="s">
        <v>1319</v>
      </c>
      <c r="AB404" s="701" t="s">
        <v>1319</v>
      </c>
      <c r="AC404" s="856" t="s">
        <v>1319</v>
      </c>
      <c r="AD404" s="857" t="s">
        <v>1319</v>
      </c>
      <c r="AE404" s="858" t="s">
        <v>1319</v>
      </c>
      <c r="AF404" s="859" t="s">
        <v>1319</v>
      </c>
      <c r="AG404" s="858" t="s">
        <v>1688</v>
      </c>
      <c r="AH404" s="979" t="s">
        <v>1319</v>
      </c>
      <c r="AI404" s="938" t="s">
        <v>1689</v>
      </c>
    </row>
    <row r="405" spans="1:35" ht="26.25" x14ac:dyDescent="0.25">
      <c r="A405" s="101" t="s">
        <v>1690</v>
      </c>
      <c r="B405" s="102" t="s">
        <v>40</v>
      </c>
      <c r="C405" s="102" t="s">
        <v>1691</v>
      </c>
      <c r="D405" s="102" t="s">
        <v>1692</v>
      </c>
      <c r="E405" s="102"/>
      <c r="F405" s="103" t="s">
        <v>1693</v>
      </c>
      <c r="G405" s="104" t="s">
        <v>1694</v>
      </c>
      <c r="H405" s="152" t="s">
        <v>1695</v>
      </c>
      <c r="I405" s="102" t="s">
        <v>432</v>
      </c>
      <c r="J405" s="218"/>
      <c r="K405" s="313"/>
      <c r="L405" s="314"/>
      <c r="M405" s="315"/>
      <c r="N405" s="316"/>
      <c r="O405" s="315"/>
      <c r="P405" s="317"/>
      <c r="Q405" s="485"/>
      <c r="R405" s="486"/>
      <c r="S405" s="487"/>
      <c r="T405" s="488"/>
      <c r="U405" s="487"/>
      <c r="V405" s="489"/>
      <c r="W405" s="672"/>
      <c r="X405" s="673"/>
      <c r="Y405" s="674"/>
      <c r="Z405" s="675"/>
      <c r="AA405" s="674"/>
      <c r="AB405" s="676"/>
      <c r="AC405" s="836"/>
      <c r="AD405" s="837"/>
      <c r="AE405" s="838"/>
      <c r="AF405" s="839"/>
      <c r="AG405" s="838"/>
      <c r="AH405" s="974"/>
      <c r="AI405" s="929" t="s">
        <v>1696</v>
      </c>
    </row>
    <row r="406" spans="1:35" ht="39" x14ac:dyDescent="0.25">
      <c r="A406" s="32" t="s">
        <v>1697</v>
      </c>
      <c r="B406" s="33" t="s">
        <v>40</v>
      </c>
      <c r="C406" s="33" t="s">
        <v>1691</v>
      </c>
      <c r="D406" s="33" t="s">
        <v>1698</v>
      </c>
      <c r="E406" s="33"/>
      <c r="F406" s="34" t="s">
        <v>1699</v>
      </c>
      <c r="G406" s="35" t="s">
        <v>1700</v>
      </c>
      <c r="H406" s="75" t="s">
        <v>1701</v>
      </c>
      <c r="I406" s="33" t="s">
        <v>432</v>
      </c>
      <c r="J406" s="210"/>
      <c r="K406" s="250"/>
      <c r="L406" s="251"/>
      <c r="M406" s="252"/>
      <c r="N406" s="253"/>
      <c r="O406" s="252"/>
      <c r="P406" s="254"/>
      <c r="Q406" s="418"/>
      <c r="R406" s="419"/>
      <c r="S406" s="420"/>
      <c r="T406" s="421"/>
      <c r="U406" s="420"/>
      <c r="V406" s="422"/>
      <c r="W406" s="597"/>
      <c r="X406" s="598"/>
      <c r="Y406" s="599"/>
      <c r="Z406" s="600"/>
      <c r="AA406" s="599"/>
      <c r="AB406" s="601"/>
      <c r="AC406" s="781"/>
      <c r="AD406" s="782"/>
      <c r="AE406" s="783"/>
      <c r="AF406" s="784"/>
      <c r="AG406" s="783"/>
      <c r="AH406" s="957"/>
      <c r="AI406" s="916" t="s">
        <v>1696</v>
      </c>
    </row>
    <row r="407" spans="1:35" ht="30" x14ac:dyDescent="0.25">
      <c r="A407" s="41" t="s">
        <v>1702</v>
      </c>
      <c r="B407" s="42" t="s">
        <v>40</v>
      </c>
      <c r="C407" s="42" t="s">
        <v>1691</v>
      </c>
      <c r="D407" s="42" t="s">
        <v>1703</v>
      </c>
      <c r="E407" s="42"/>
      <c r="F407" s="43" t="s">
        <v>1703</v>
      </c>
      <c r="G407" s="44" t="s">
        <v>1703</v>
      </c>
      <c r="H407" s="153" t="s">
        <v>1701</v>
      </c>
      <c r="I407" s="42" t="s">
        <v>276</v>
      </c>
      <c r="J407" s="211"/>
      <c r="K407" s="261">
        <v>388</v>
      </c>
      <c r="L407" s="262" t="s">
        <v>1704</v>
      </c>
      <c r="M407" s="263">
        <f>(1051917/15000)-K407</f>
        <v>-317.87220000000002</v>
      </c>
      <c r="N407" s="264">
        <f>2711/15000</f>
        <v>0.18073333333333333</v>
      </c>
      <c r="O407" s="263">
        <f>(1051917/10000)-K407</f>
        <v>-282.80830000000003</v>
      </c>
      <c r="P407" s="265">
        <f>2711/10000</f>
        <v>0.27110000000000001</v>
      </c>
      <c r="Q407" s="431">
        <v>166</v>
      </c>
      <c r="R407" s="432" t="s">
        <v>1705</v>
      </c>
      <c r="S407" s="433">
        <f>(578592/15000)-Q407</f>
        <v>-127.4272</v>
      </c>
      <c r="T407" s="434">
        <f>3485/15000</f>
        <v>0.23233333333333334</v>
      </c>
      <c r="U407" s="433">
        <f>(578592/10000)-Q407</f>
        <v>-108.1408</v>
      </c>
      <c r="V407" s="435">
        <f>3485/10000</f>
        <v>0.34849999999999998</v>
      </c>
      <c r="W407" s="611">
        <v>83</v>
      </c>
      <c r="X407" s="612" t="s">
        <v>1706</v>
      </c>
      <c r="Y407" s="613">
        <f>(189789/15000)-W407</f>
        <v>-70.347399999999993</v>
      </c>
      <c r="Z407" s="614">
        <f>2287/15000</f>
        <v>0.15246666666666667</v>
      </c>
      <c r="AA407" s="613">
        <f>(189789/10000)-W407</f>
        <v>-64.021100000000004</v>
      </c>
      <c r="AB407" s="615">
        <f>2287/10000</f>
        <v>0.22869999999999999</v>
      </c>
      <c r="AC407" s="792">
        <v>139</v>
      </c>
      <c r="AD407" s="793" t="s">
        <v>1707</v>
      </c>
      <c r="AE407" s="794">
        <f>(263509/15000)-AC407</f>
        <v>-121.43273333333333</v>
      </c>
      <c r="AF407" s="795">
        <f>1896/15000</f>
        <v>0.12640000000000001</v>
      </c>
      <c r="AG407" s="794">
        <f>(263509/10000)-AC407</f>
        <v>-112.6491</v>
      </c>
      <c r="AH407" s="959">
        <f>1896/10000</f>
        <v>0.18959999999999999</v>
      </c>
      <c r="AI407" s="918" t="s">
        <v>1696</v>
      </c>
    </row>
    <row r="408" spans="1:35" ht="65.25" thickBot="1" x14ac:dyDescent="0.3">
      <c r="A408" s="141" t="s">
        <v>1708</v>
      </c>
      <c r="B408" s="142" t="s">
        <v>40</v>
      </c>
      <c r="C408" s="142" t="s">
        <v>1691</v>
      </c>
      <c r="D408" s="142" t="s">
        <v>1709</v>
      </c>
      <c r="E408" s="142"/>
      <c r="F408" s="143" t="s">
        <v>1291</v>
      </c>
      <c r="G408" s="144" t="s">
        <v>1709</v>
      </c>
      <c r="H408" s="141" t="s">
        <v>1490</v>
      </c>
      <c r="I408" s="142" t="s">
        <v>556</v>
      </c>
      <c r="J408" s="220"/>
      <c r="K408" s="320"/>
      <c r="L408" s="321"/>
      <c r="M408" s="322"/>
      <c r="N408" s="323"/>
      <c r="O408" s="322"/>
      <c r="P408" s="324"/>
      <c r="Q408" s="495"/>
      <c r="R408" s="496"/>
      <c r="S408" s="497"/>
      <c r="T408" s="498"/>
      <c r="U408" s="497"/>
      <c r="V408" s="499"/>
      <c r="W408" s="679"/>
      <c r="X408" s="680"/>
      <c r="Y408" s="681"/>
      <c r="Z408" s="682"/>
      <c r="AA408" s="681"/>
      <c r="AB408" s="683"/>
      <c r="AC408" s="842"/>
      <c r="AD408" s="843"/>
      <c r="AE408" s="844"/>
      <c r="AF408" s="845"/>
      <c r="AG408" s="844"/>
      <c r="AH408" s="975"/>
      <c r="AI408" s="936"/>
    </row>
    <row r="409" spans="1:35" ht="39" x14ac:dyDescent="0.25">
      <c r="A409" s="13" t="s">
        <v>1710</v>
      </c>
      <c r="B409" s="14" t="s">
        <v>40</v>
      </c>
      <c r="C409" s="14" t="s">
        <v>1711</v>
      </c>
      <c r="D409" s="14" t="s">
        <v>1712</v>
      </c>
      <c r="E409" s="14" t="s">
        <v>1713</v>
      </c>
      <c r="F409" s="15"/>
      <c r="G409" s="16" t="s">
        <v>1714</v>
      </c>
      <c r="H409" s="13" t="s">
        <v>1715</v>
      </c>
      <c r="I409" s="14" t="s">
        <v>276</v>
      </c>
      <c r="J409" s="209"/>
      <c r="K409" s="245"/>
      <c r="L409" s="246"/>
      <c r="M409" s="247"/>
      <c r="N409" s="248"/>
      <c r="O409" s="247"/>
      <c r="P409" s="249"/>
      <c r="Q409" s="413"/>
      <c r="R409" s="414"/>
      <c r="S409" s="415"/>
      <c r="T409" s="416"/>
      <c r="U409" s="415"/>
      <c r="V409" s="417"/>
      <c r="W409" s="592"/>
      <c r="X409" s="593"/>
      <c r="Y409" s="594"/>
      <c r="Z409" s="595"/>
      <c r="AA409" s="594"/>
      <c r="AB409" s="596"/>
      <c r="AC409" s="777"/>
      <c r="AD409" s="778"/>
      <c r="AE409" s="779"/>
      <c r="AF409" s="780"/>
      <c r="AG409" s="779"/>
      <c r="AH409" s="956"/>
      <c r="AI409" s="912" t="s">
        <v>1716</v>
      </c>
    </row>
    <row r="410" spans="1:35" ht="39" x14ac:dyDescent="0.25">
      <c r="A410" s="18" t="s">
        <v>1717</v>
      </c>
      <c r="B410" s="19" t="s">
        <v>40</v>
      </c>
      <c r="C410" s="19" t="s">
        <v>1711</v>
      </c>
      <c r="D410" s="19" t="s">
        <v>1712</v>
      </c>
      <c r="E410" s="19" t="s">
        <v>1718</v>
      </c>
      <c r="F410" s="20"/>
      <c r="G410" s="21" t="s">
        <v>1719</v>
      </c>
      <c r="H410" s="18" t="s">
        <v>1455</v>
      </c>
      <c r="I410" s="19" t="s">
        <v>1519</v>
      </c>
      <c r="J410" s="210"/>
      <c r="K410" s="250"/>
      <c r="L410" s="251"/>
      <c r="M410" s="252"/>
      <c r="N410" s="253"/>
      <c r="O410" s="252"/>
      <c r="P410" s="254"/>
      <c r="Q410" s="418"/>
      <c r="R410" s="419"/>
      <c r="S410" s="420"/>
      <c r="T410" s="421"/>
      <c r="U410" s="420"/>
      <c r="V410" s="422"/>
      <c r="W410" s="597"/>
      <c r="X410" s="598"/>
      <c r="Y410" s="599"/>
      <c r="Z410" s="600"/>
      <c r="AA410" s="599"/>
      <c r="AB410" s="601"/>
      <c r="AC410" s="781"/>
      <c r="AD410" s="782"/>
      <c r="AE410" s="783"/>
      <c r="AF410" s="784"/>
      <c r="AG410" s="783"/>
      <c r="AH410" s="957"/>
      <c r="AI410" s="913" t="s">
        <v>1716</v>
      </c>
    </row>
    <row r="411" spans="1:35" ht="26.25" x14ac:dyDescent="0.25">
      <c r="A411" s="18" t="s">
        <v>1720</v>
      </c>
      <c r="B411" s="19" t="s">
        <v>40</v>
      </c>
      <c r="C411" s="19" t="s">
        <v>1711</v>
      </c>
      <c r="D411" s="19" t="s">
        <v>1712</v>
      </c>
      <c r="E411" s="19" t="s">
        <v>1721</v>
      </c>
      <c r="F411" s="20"/>
      <c r="G411" s="21" t="s">
        <v>1722</v>
      </c>
      <c r="H411" s="18" t="s">
        <v>1723</v>
      </c>
      <c r="I411" s="19" t="s">
        <v>89</v>
      </c>
      <c r="J411" s="210"/>
      <c r="K411" s="250"/>
      <c r="L411" s="251"/>
      <c r="M411" s="252"/>
      <c r="N411" s="253"/>
      <c r="O411" s="252"/>
      <c r="P411" s="254"/>
      <c r="Q411" s="418"/>
      <c r="R411" s="419"/>
      <c r="S411" s="420"/>
      <c r="T411" s="421"/>
      <c r="U411" s="420"/>
      <c r="V411" s="422"/>
      <c r="W411" s="597"/>
      <c r="X411" s="598"/>
      <c r="Y411" s="599"/>
      <c r="Z411" s="600"/>
      <c r="AA411" s="599"/>
      <c r="AB411" s="601"/>
      <c r="AC411" s="781"/>
      <c r="AD411" s="782"/>
      <c r="AE411" s="783"/>
      <c r="AF411" s="784"/>
      <c r="AG411" s="783"/>
      <c r="AH411" s="957"/>
      <c r="AI411" s="913" t="s">
        <v>1716</v>
      </c>
    </row>
    <row r="412" spans="1:35" ht="26.25" x14ac:dyDescent="0.25">
      <c r="A412" s="18" t="s">
        <v>1724</v>
      </c>
      <c r="B412" s="19" t="s">
        <v>40</v>
      </c>
      <c r="C412" s="19" t="s">
        <v>1711</v>
      </c>
      <c r="D412" s="19" t="s">
        <v>1712</v>
      </c>
      <c r="E412" s="19" t="s">
        <v>814</v>
      </c>
      <c r="F412" s="20"/>
      <c r="G412" s="21" t="s">
        <v>1725</v>
      </c>
      <c r="H412" s="18" t="s">
        <v>1471</v>
      </c>
      <c r="I412" s="19" t="s">
        <v>191</v>
      </c>
      <c r="J412" s="210"/>
      <c r="K412" s="250"/>
      <c r="L412" s="251"/>
      <c r="M412" s="252"/>
      <c r="N412" s="253"/>
      <c r="O412" s="252"/>
      <c r="P412" s="254"/>
      <c r="Q412" s="418"/>
      <c r="R412" s="419"/>
      <c r="S412" s="420"/>
      <c r="T412" s="421"/>
      <c r="U412" s="420"/>
      <c r="V412" s="422"/>
      <c r="W412" s="597"/>
      <c r="X412" s="598"/>
      <c r="Y412" s="599"/>
      <c r="Z412" s="600"/>
      <c r="AA412" s="599"/>
      <c r="AB412" s="601"/>
      <c r="AC412" s="781"/>
      <c r="AD412" s="782"/>
      <c r="AE412" s="783"/>
      <c r="AF412" s="784"/>
      <c r="AG412" s="783"/>
      <c r="AH412" s="957"/>
      <c r="AI412" s="913" t="s">
        <v>1716</v>
      </c>
    </row>
    <row r="413" spans="1:35" ht="26.25" x14ac:dyDescent="0.25">
      <c r="A413" s="18" t="s">
        <v>1726</v>
      </c>
      <c r="B413" s="19" t="s">
        <v>40</v>
      </c>
      <c r="C413" s="19" t="s">
        <v>1711</v>
      </c>
      <c r="D413" s="19" t="s">
        <v>1712</v>
      </c>
      <c r="E413" s="19" t="s">
        <v>1727</v>
      </c>
      <c r="F413" s="20"/>
      <c r="G413" s="21" t="s">
        <v>1728</v>
      </c>
      <c r="H413" s="18" t="s">
        <v>1729</v>
      </c>
      <c r="I413" s="19" t="s">
        <v>89</v>
      </c>
      <c r="J413" s="210"/>
      <c r="K413" s="250"/>
      <c r="L413" s="251"/>
      <c r="M413" s="252"/>
      <c r="N413" s="253"/>
      <c r="O413" s="252"/>
      <c r="P413" s="254"/>
      <c r="Q413" s="418"/>
      <c r="R413" s="419"/>
      <c r="S413" s="420"/>
      <c r="T413" s="421"/>
      <c r="U413" s="420"/>
      <c r="V413" s="422"/>
      <c r="W413" s="597"/>
      <c r="X413" s="598"/>
      <c r="Y413" s="599"/>
      <c r="Z413" s="600"/>
      <c r="AA413" s="599"/>
      <c r="AB413" s="601"/>
      <c r="AC413" s="781"/>
      <c r="AD413" s="782"/>
      <c r="AE413" s="783"/>
      <c r="AF413" s="784"/>
      <c r="AG413" s="783"/>
      <c r="AH413" s="957"/>
      <c r="AI413" s="913" t="s">
        <v>1716</v>
      </c>
    </row>
    <row r="414" spans="1:35" ht="26.25" x14ac:dyDescent="0.25">
      <c r="A414" s="18" t="s">
        <v>1730</v>
      </c>
      <c r="B414" s="19" t="s">
        <v>40</v>
      </c>
      <c r="C414" s="19" t="s">
        <v>1711</v>
      </c>
      <c r="D414" s="19" t="s">
        <v>1712</v>
      </c>
      <c r="E414" s="19" t="s">
        <v>1731</v>
      </c>
      <c r="F414" s="20"/>
      <c r="G414" s="21" t="s">
        <v>1732</v>
      </c>
      <c r="H414" s="18" t="s">
        <v>1729</v>
      </c>
      <c r="I414" s="19" t="s">
        <v>89</v>
      </c>
      <c r="J414" s="210"/>
      <c r="K414" s="250"/>
      <c r="L414" s="251"/>
      <c r="M414" s="252"/>
      <c r="N414" s="253"/>
      <c r="O414" s="252"/>
      <c r="P414" s="254"/>
      <c r="Q414" s="418"/>
      <c r="R414" s="419"/>
      <c r="S414" s="420"/>
      <c r="T414" s="421"/>
      <c r="U414" s="420"/>
      <c r="V414" s="422"/>
      <c r="W414" s="597"/>
      <c r="X414" s="598"/>
      <c r="Y414" s="599"/>
      <c r="Z414" s="600"/>
      <c r="AA414" s="599"/>
      <c r="AB414" s="601"/>
      <c r="AC414" s="781"/>
      <c r="AD414" s="782"/>
      <c r="AE414" s="783"/>
      <c r="AF414" s="784"/>
      <c r="AG414" s="783"/>
      <c r="AH414" s="957"/>
      <c r="AI414" s="913" t="s">
        <v>1716</v>
      </c>
    </row>
    <row r="415" spans="1:35" ht="51.75" x14ac:dyDescent="0.25">
      <c r="A415" s="110" t="s">
        <v>1733</v>
      </c>
      <c r="B415" s="111" t="s">
        <v>40</v>
      </c>
      <c r="C415" s="111" t="s">
        <v>1711</v>
      </c>
      <c r="D415" s="111" t="s">
        <v>1712</v>
      </c>
      <c r="E415" s="111"/>
      <c r="F415" s="112" t="s">
        <v>1734</v>
      </c>
      <c r="G415" s="113" t="s">
        <v>1262</v>
      </c>
      <c r="H415" s="110"/>
      <c r="I415" s="111"/>
      <c r="J415" s="210"/>
      <c r="K415" s="250"/>
      <c r="L415" s="251"/>
      <c r="M415" s="252"/>
      <c r="N415" s="253"/>
      <c r="O415" s="252"/>
      <c r="P415" s="254"/>
      <c r="Q415" s="418"/>
      <c r="R415" s="419"/>
      <c r="S415" s="420"/>
      <c r="T415" s="421"/>
      <c r="U415" s="420"/>
      <c r="V415" s="422"/>
      <c r="W415" s="597"/>
      <c r="X415" s="598"/>
      <c r="Y415" s="599"/>
      <c r="Z415" s="600"/>
      <c r="AA415" s="599"/>
      <c r="AB415" s="601"/>
      <c r="AC415" s="781"/>
      <c r="AD415" s="782"/>
      <c r="AE415" s="783"/>
      <c r="AF415" s="784"/>
      <c r="AG415" s="783"/>
      <c r="AH415" s="957"/>
      <c r="AI415" s="931"/>
    </row>
    <row r="416" spans="1:35" ht="77.25" x14ac:dyDescent="0.25">
      <c r="A416" s="110" t="s">
        <v>1735</v>
      </c>
      <c r="B416" s="111" t="s">
        <v>40</v>
      </c>
      <c r="C416" s="111" t="s">
        <v>1711</v>
      </c>
      <c r="D416" s="111" t="s">
        <v>1736</v>
      </c>
      <c r="E416" s="111"/>
      <c r="F416" s="112" t="s">
        <v>1737</v>
      </c>
      <c r="G416" s="113" t="s">
        <v>1262</v>
      </c>
      <c r="H416" s="110"/>
      <c r="I416" s="111"/>
      <c r="J416" s="210"/>
      <c r="K416" s="250"/>
      <c r="L416" s="251"/>
      <c r="M416" s="252"/>
      <c r="N416" s="253"/>
      <c r="O416" s="252"/>
      <c r="P416" s="254"/>
      <c r="Q416" s="418"/>
      <c r="R416" s="419"/>
      <c r="S416" s="420"/>
      <c r="T416" s="421"/>
      <c r="U416" s="420"/>
      <c r="V416" s="422"/>
      <c r="W416" s="597"/>
      <c r="X416" s="598"/>
      <c r="Y416" s="599"/>
      <c r="Z416" s="600"/>
      <c r="AA416" s="599"/>
      <c r="AB416" s="601"/>
      <c r="AC416" s="781"/>
      <c r="AD416" s="782"/>
      <c r="AE416" s="783"/>
      <c r="AF416" s="784"/>
      <c r="AG416" s="783"/>
      <c r="AH416" s="957"/>
      <c r="AI416" s="931"/>
    </row>
    <row r="417" spans="1:35" ht="51.75" x14ac:dyDescent="0.25">
      <c r="A417" s="110" t="s">
        <v>1738</v>
      </c>
      <c r="B417" s="111" t="s">
        <v>40</v>
      </c>
      <c r="C417" s="111" t="s">
        <v>1711</v>
      </c>
      <c r="D417" s="111" t="s">
        <v>1712</v>
      </c>
      <c r="E417" s="111"/>
      <c r="F417" s="112" t="s">
        <v>1739</v>
      </c>
      <c r="G417" s="113" t="s">
        <v>1262</v>
      </c>
      <c r="H417" s="110"/>
      <c r="I417" s="111"/>
      <c r="J417" s="210"/>
      <c r="K417" s="250">
        <v>171</v>
      </c>
      <c r="L417" s="251" t="s">
        <v>1740</v>
      </c>
      <c r="M417" s="279">
        <f>(1051917/6000)-K417</f>
        <v>4.319500000000005</v>
      </c>
      <c r="N417" s="280">
        <f>6152/6000</f>
        <v>1.0253333333333334</v>
      </c>
      <c r="O417" s="279">
        <f>(1051917/5000)-K417</f>
        <v>39.383399999999995</v>
      </c>
      <c r="P417" s="281">
        <f>6152/5000</f>
        <v>1.2303999999999999</v>
      </c>
      <c r="Q417" s="418">
        <v>105</v>
      </c>
      <c r="R417" s="419" t="s">
        <v>1741</v>
      </c>
      <c r="S417" s="467">
        <f>(578592/6000)-Q417</f>
        <v>-8.5679999999999978</v>
      </c>
      <c r="T417" s="468">
        <f>5510/6000</f>
        <v>0.91833333333333333</v>
      </c>
      <c r="U417" s="467">
        <f>(578592/5000)-Q417</f>
        <v>10.718400000000003</v>
      </c>
      <c r="V417" s="469">
        <f>5510/5000</f>
        <v>1.1020000000000001</v>
      </c>
      <c r="W417" s="597">
        <v>28</v>
      </c>
      <c r="X417" s="598" t="s">
        <v>1742</v>
      </c>
      <c r="Y417" s="644">
        <f>(189789/6000)-W417</f>
        <v>3.6314999999999991</v>
      </c>
      <c r="Z417" s="645">
        <f>6778/6000</f>
        <v>1.1296666666666666</v>
      </c>
      <c r="AA417" s="644">
        <f>(189789/5000)-W417</f>
        <v>9.9577999999999989</v>
      </c>
      <c r="AB417" s="646">
        <f>6778/5000</f>
        <v>1.3555999999999999</v>
      </c>
      <c r="AC417" s="781">
        <v>38</v>
      </c>
      <c r="AD417" s="782" t="s">
        <v>1230</v>
      </c>
      <c r="AE417" s="804">
        <f>(263509/6000)-AC417</f>
        <v>5.9181666666666644</v>
      </c>
      <c r="AF417" s="805">
        <f>6934/6000</f>
        <v>1.1556666666666666</v>
      </c>
      <c r="AG417" s="804">
        <f>(263509/5000)-AC417</f>
        <v>14.701799999999999</v>
      </c>
      <c r="AH417" s="964">
        <f>6934/5000</f>
        <v>1.3868</v>
      </c>
      <c r="AI417" s="931"/>
    </row>
    <row r="418" spans="1:35" ht="64.5" x14ac:dyDescent="0.25">
      <c r="A418" s="110" t="s">
        <v>1743</v>
      </c>
      <c r="B418" s="111" t="s">
        <v>40</v>
      </c>
      <c r="C418" s="111" t="s">
        <v>1711</v>
      </c>
      <c r="D418" s="111" t="s">
        <v>1712</v>
      </c>
      <c r="E418" s="111"/>
      <c r="F418" s="112" t="s">
        <v>1744</v>
      </c>
      <c r="G418" s="113" t="s">
        <v>1262</v>
      </c>
      <c r="H418" s="110"/>
      <c r="I418" s="111"/>
      <c r="J418" s="210"/>
      <c r="K418" s="250"/>
      <c r="L418" s="251"/>
      <c r="M418" s="279"/>
      <c r="N418" s="280"/>
      <c r="O418" s="279"/>
      <c r="P418" s="281"/>
      <c r="Q418" s="418"/>
      <c r="R418" s="419"/>
      <c r="S418" s="467"/>
      <c r="T418" s="468"/>
      <c r="U418" s="467"/>
      <c r="V418" s="469"/>
      <c r="W418" s="597"/>
      <c r="X418" s="598"/>
      <c r="Y418" s="644"/>
      <c r="Z418" s="645"/>
      <c r="AA418" s="644"/>
      <c r="AB418" s="646"/>
      <c r="AC418" s="781"/>
      <c r="AD418" s="782"/>
      <c r="AE418" s="804"/>
      <c r="AF418" s="805"/>
      <c r="AG418" s="804"/>
      <c r="AH418" s="964"/>
      <c r="AI418" s="931"/>
    </row>
    <row r="419" spans="1:35" ht="90" x14ac:dyDescent="0.25">
      <c r="A419" s="110" t="s">
        <v>1745</v>
      </c>
      <c r="B419" s="111" t="s">
        <v>40</v>
      </c>
      <c r="C419" s="111" t="s">
        <v>1711</v>
      </c>
      <c r="D419" s="111" t="s">
        <v>1746</v>
      </c>
      <c r="E419" s="111"/>
      <c r="F419" s="112" t="s">
        <v>1747</v>
      </c>
      <c r="G419" s="113" t="s">
        <v>1262</v>
      </c>
      <c r="H419" s="110"/>
      <c r="I419" s="111"/>
      <c r="J419" s="210"/>
      <c r="K419" s="250"/>
      <c r="L419" s="251"/>
      <c r="M419" s="279"/>
      <c r="N419" s="280"/>
      <c r="O419" s="279"/>
      <c r="P419" s="281"/>
      <c r="Q419" s="418"/>
      <c r="R419" s="419"/>
      <c r="S419" s="467"/>
      <c r="T419" s="468"/>
      <c r="U419" s="467"/>
      <c r="V419" s="469"/>
      <c r="W419" s="597"/>
      <c r="X419" s="598"/>
      <c r="Y419" s="644"/>
      <c r="Z419" s="645"/>
      <c r="AA419" s="644"/>
      <c r="AB419" s="646"/>
      <c r="AC419" s="781"/>
      <c r="AD419" s="782"/>
      <c r="AE419" s="804"/>
      <c r="AF419" s="805"/>
      <c r="AG419" s="804"/>
      <c r="AH419" s="964"/>
      <c r="AI419" s="931"/>
    </row>
    <row r="420" spans="1:35" ht="26.25" x14ac:dyDescent="0.25">
      <c r="A420" s="23" t="s">
        <v>1748</v>
      </c>
      <c r="B420" s="24" t="s">
        <v>40</v>
      </c>
      <c r="C420" s="24" t="s">
        <v>1711</v>
      </c>
      <c r="D420" s="24" t="s">
        <v>1712</v>
      </c>
      <c r="E420" s="24"/>
      <c r="F420" s="25" t="s">
        <v>1712</v>
      </c>
      <c r="G420" s="26" t="s">
        <v>1712</v>
      </c>
      <c r="H420" s="23"/>
      <c r="I420" s="24"/>
      <c r="J420" s="210"/>
      <c r="K420" s="250"/>
      <c r="L420" s="251"/>
      <c r="M420" s="252"/>
      <c r="N420" s="253"/>
      <c r="O420" s="252"/>
      <c r="P420" s="254"/>
      <c r="Q420" s="418"/>
      <c r="R420" s="419"/>
      <c r="S420" s="420"/>
      <c r="T420" s="421"/>
      <c r="U420" s="420"/>
      <c r="V420" s="422"/>
      <c r="W420" s="597"/>
      <c r="X420" s="598"/>
      <c r="Y420" s="599"/>
      <c r="Z420" s="600"/>
      <c r="AA420" s="599"/>
      <c r="AB420" s="601"/>
      <c r="AC420" s="781"/>
      <c r="AD420" s="782"/>
      <c r="AE420" s="783"/>
      <c r="AF420" s="784"/>
      <c r="AG420" s="783"/>
      <c r="AH420" s="957"/>
      <c r="AI420" s="914"/>
    </row>
    <row r="421" spans="1:35" ht="30" x14ac:dyDescent="0.25">
      <c r="A421" s="27" t="s">
        <v>1748</v>
      </c>
      <c r="B421" s="28" t="s">
        <v>40</v>
      </c>
      <c r="C421" s="28" t="s">
        <v>1711</v>
      </c>
      <c r="D421" s="28" t="s">
        <v>1712</v>
      </c>
      <c r="E421" s="28"/>
      <c r="F421" s="29" t="s">
        <v>72</v>
      </c>
      <c r="G421" s="30" t="s">
        <v>1712</v>
      </c>
      <c r="H421" s="27" t="s">
        <v>1749</v>
      </c>
      <c r="I421" s="28" t="s">
        <v>1750</v>
      </c>
      <c r="J421" s="211"/>
      <c r="K421" s="261"/>
      <c r="L421" s="262"/>
      <c r="M421" s="293"/>
      <c r="N421" s="343"/>
      <c r="O421" s="293"/>
      <c r="P421" s="294"/>
      <c r="Q421" s="431"/>
      <c r="R421" s="432"/>
      <c r="S421" s="465"/>
      <c r="T421" s="518"/>
      <c r="U421" s="465"/>
      <c r="V421" s="466"/>
      <c r="W421" s="611"/>
      <c r="X421" s="612"/>
      <c r="Y421" s="652"/>
      <c r="Z421" s="702"/>
      <c r="AA421" s="652"/>
      <c r="AB421" s="616"/>
      <c r="AC421" s="792"/>
      <c r="AD421" s="793"/>
      <c r="AE421" s="820"/>
      <c r="AF421" s="860"/>
      <c r="AG421" s="820"/>
      <c r="AH421" s="960"/>
      <c r="AI421" s="915" t="s">
        <v>1751</v>
      </c>
    </row>
    <row r="422" spans="1:35" ht="26.25" x14ac:dyDescent="0.25">
      <c r="A422" s="18" t="s">
        <v>1752</v>
      </c>
      <c r="B422" s="19" t="s">
        <v>40</v>
      </c>
      <c r="C422" s="19" t="s">
        <v>1711</v>
      </c>
      <c r="D422" s="19" t="s">
        <v>1753</v>
      </c>
      <c r="E422" s="19" t="s">
        <v>1754</v>
      </c>
      <c r="F422" s="20"/>
      <c r="G422" s="21" t="s">
        <v>1755</v>
      </c>
      <c r="H422" s="18" t="s">
        <v>1471</v>
      </c>
      <c r="I422" s="19" t="s">
        <v>83</v>
      </c>
      <c r="J422" s="210"/>
      <c r="K422" s="250"/>
      <c r="L422" s="251"/>
      <c r="M422" s="252"/>
      <c r="N422" s="253"/>
      <c r="O422" s="252"/>
      <c r="P422" s="254"/>
      <c r="Q422" s="418"/>
      <c r="R422" s="419"/>
      <c r="S422" s="420"/>
      <c r="T422" s="421"/>
      <c r="U422" s="420"/>
      <c r="V422" s="422"/>
      <c r="W422" s="597"/>
      <c r="X422" s="598"/>
      <c r="Y422" s="599"/>
      <c r="Z422" s="600"/>
      <c r="AA422" s="599"/>
      <c r="AB422" s="601"/>
      <c r="AC422" s="781"/>
      <c r="AD422" s="782"/>
      <c r="AE422" s="783"/>
      <c r="AF422" s="784"/>
      <c r="AG422" s="783"/>
      <c r="AH422" s="957"/>
      <c r="AI422" s="913" t="s">
        <v>1716</v>
      </c>
    </row>
    <row r="423" spans="1:35" ht="26.25" x14ac:dyDescent="0.25">
      <c r="A423" s="18" t="s">
        <v>1756</v>
      </c>
      <c r="B423" s="19" t="s">
        <v>40</v>
      </c>
      <c r="C423" s="19" t="s">
        <v>1711</v>
      </c>
      <c r="D423" s="19" t="s">
        <v>1753</v>
      </c>
      <c r="E423" s="19" t="s">
        <v>1757</v>
      </c>
      <c r="F423" s="20"/>
      <c r="G423" s="21" t="s">
        <v>1757</v>
      </c>
      <c r="H423" s="18" t="s">
        <v>1471</v>
      </c>
      <c r="I423" s="19" t="s">
        <v>83</v>
      </c>
      <c r="J423" s="210"/>
      <c r="K423" s="250"/>
      <c r="L423" s="251"/>
      <c r="M423" s="252"/>
      <c r="N423" s="253"/>
      <c r="O423" s="252"/>
      <c r="P423" s="254"/>
      <c r="Q423" s="418"/>
      <c r="R423" s="419"/>
      <c r="S423" s="420"/>
      <c r="T423" s="421"/>
      <c r="U423" s="420"/>
      <c r="V423" s="422"/>
      <c r="W423" s="597"/>
      <c r="X423" s="598"/>
      <c r="Y423" s="599"/>
      <c r="Z423" s="600"/>
      <c r="AA423" s="599"/>
      <c r="AB423" s="601"/>
      <c r="AC423" s="781"/>
      <c r="AD423" s="782"/>
      <c r="AE423" s="783"/>
      <c r="AF423" s="784"/>
      <c r="AG423" s="783"/>
      <c r="AH423" s="957"/>
      <c r="AI423" s="913" t="s">
        <v>1716</v>
      </c>
    </row>
    <row r="424" spans="1:35" ht="39" x14ac:dyDescent="0.25">
      <c r="A424" s="18" t="s">
        <v>1758</v>
      </c>
      <c r="B424" s="19" t="s">
        <v>40</v>
      </c>
      <c r="C424" s="19" t="s">
        <v>1711</v>
      </c>
      <c r="D424" s="19" t="s">
        <v>1753</v>
      </c>
      <c r="E424" s="19" t="s">
        <v>1759</v>
      </c>
      <c r="F424" s="20"/>
      <c r="G424" s="21" t="s">
        <v>1759</v>
      </c>
      <c r="H424" s="18" t="s">
        <v>1760</v>
      </c>
      <c r="I424" s="19" t="s">
        <v>109</v>
      </c>
      <c r="J424" s="210"/>
      <c r="K424" s="250"/>
      <c r="L424" s="251"/>
      <c r="M424" s="252"/>
      <c r="N424" s="253"/>
      <c r="O424" s="252"/>
      <c r="P424" s="254"/>
      <c r="Q424" s="418"/>
      <c r="R424" s="419"/>
      <c r="S424" s="420"/>
      <c r="T424" s="421"/>
      <c r="U424" s="420"/>
      <c r="V424" s="422"/>
      <c r="W424" s="597"/>
      <c r="X424" s="598"/>
      <c r="Y424" s="599"/>
      <c r="Z424" s="600"/>
      <c r="AA424" s="599"/>
      <c r="AB424" s="601"/>
      <c r="AC424" s="781"/>
      <c r="AD424" s="782"/>
      <c r="AE424" s="783"/>
      <c r="AF424" s="784"/>
      <c r="AG424" s="783"/>
      <c r="AH424" s="957"/>
      <c r="AI424" s="913" t="s">
        <v>1761</v>
      </c>
    </row>
    <row r="425" spans="1:35" ht="26.25" x14ac:dyDescent="0.25">
      <c r="A425" s="18" t="s">
        <v>1762</v>
      </c>
      <c r="B425" s="19" t="s">
        <v>40</v>
      </c>
      <c r="C425" s="19" t="s">
        <v>1711</v>
      </c>
      <c r="D425" s="19" t="s">
        <v>1753</v>
      </c>
      <c r="E425" s="19" t="s">
        <v>1763</v>
      </c>
      <c r="F425" s="20"/>
      <c r="G425" s="21" t="s">
        <v>1764</v>
      </c>
      <c r="H425" s="18" t="s">
        <v>1765</v>
      </c>
      <c r="I425" s="19" t="s">
        <v>89</v>
      </c>
      <c r="J425" s="210"/>
      <c r="K425" s="250"/>
      <c r="L425" s="251"/>
      <c r="M425" s="252"/>
      <c r="N425" s="253"/>
      <c r="O425" s="252"/>
      <c r="P425" s="254"/>
      <c r="Q425" s="418"/>
      <c r="R425" s="419"/>
      <c r="S425" s="420"/>
      <c r="T425" s="421"/>
      <c r="U425" s="420"/>
      <c r="V425" s="422"/>
      <c r="W425" s="597"/>
      <c r="X425" s="598"/>
      <c r="Y425" s="599"/>
      <c r="Z425" s="600"/>
      <c r="AA425" s="599"/>
      <c r="AB425" s="601"/>
      <c r="AC425" s="781"/>
      <c r="AD425" s="782"/>
      <c r="AE425" s="783"/>
      <c r="AF425" s="784"/>
      <c r="AG425" s="783"/>
      <c r="AH425" s="957"/>
      <c r="AI425" s="913" t="s">
        <v>1766</v>
      </c>
    </row>
    <row r="426" spans="1:35" ht="26.25" x14ac:dyDescent="0.25">
      <c r="A426" s="18" t="s">
        <v>1767</v>
      </c>
      <c r="B426" s="19" t="s">
        <v>40</v>
      </c>
      <c r="C426" s="19" t="s">
        <v>1711</v>
      </c>
      <c r="D426" s="19" t="s">
        <v>1753</v>
      </c>
      <c r="E426" s="19" t="s">
        <v>1768</v>
      </c>
      <c r="F426" s="20"/>
      <c r="G426" s="21" t="s">
        <v>1768</v>
      </c>
      <c r="H426" s="18" t="s">
        <v>1769</v>
      </c>
      <c r="I426" s="19" t="s">
        <v>89</v>
      </c>
      <c r="J426" s="210"/>
      <c r="K426" s="250"/>
      <c r="L426" s="251"/>
      <c r="M426" s="252"/>
      <c r="N426" s="253"/>
      <c r="O426" s="252"/>
      <c r="P426" s="254"/>
      <c r="Q426" s="418"/>
      <c r="R426" s="419"/>
      <c r="S426" s="420"/>
      <c r="T426" s="421"/>
      <c r="U426" s="420"/>
      <c r="V426" s="422"/>
      <c r="W426" s="597"/>
      <c r="X426" s="598"/>
      <c r="Y426" s="599"/>
      <c r="Z426" s="600"/>
      <c r="AA426" s="599"/>
      <c r="AB426" s="601"/>
      <c r="AC426" s="781"/>
      <c r="AD426" s="782"/>
      <c r="AE426" s="783"/>
      <c r="AF426" s="784"/>
      <c r="AG426" s="783"/>
      <c r="AH426" s="957"/>
      <c r="AI426" s="913" t="s">
        <v>1770</v>
      </c>
    </row>
    <row r="427" spans="1:35" ht="26.25" x14ac:dyDescent="0.25">
      <c r="A427" s="18" t="s">
        <v>1771</v>
      </c>
      <c r="B427" s="19" t="s">
        <v>40</v>
      </c>
      <c r="C427" s="19" t="s">
        <v>1711</v>
      </c>
      <c r="D427" s="19" t="s">
        <v>1753</v>
      </c>
      <c r="E427" s="19" t="s">
        <v>1772</v>
      </c>
      <c r="F427" s="20"/>
      <c r="G427" s="21" t="s">
        <v>1772</v>
      </c>
      <c r="H427" s="18" t="s">
        <v>1773</v>
      </c>
      <c r="I427" s="19" t="s">
        <v>89</v>
      </c>
      <c r="J427" s="210"/>
      <c r="K427" s="250"/>
      <c r="L427" s="251"/>
      <c r="M427" s="252"/>
      <c r="N427" s="253"/>
      <c r="O427" s="252"/>
      <c r="P427" s="254"/>
      <c r="Q427" s="418"/>
      <c r="R427" s="419"/>
      <c r="S427" s="420"/>
      <c r="T427" s="421"/>
      <c r="U427" s="420"/>
      <c r="V427" s="422"/>
      <c r="W427" s="597"/>
      <c r="X427" s="598"/>
      <c r="Y427" s="599"/>
      <c r="Z427" s="600"/>
      <c r="AA427" s="599"/>
      <c r="AB427" s="601"/>
      <c r="AC427" s="781"/>
      <c r="AD427" s="782"/>
      <c r="AE427" s="783"/>
      <c r="AF427" s="784"/>
      <c r="AG427" s="783"/>
      <c r="AH427" s="957"/>
      <c r="AI427" s="913" t="s">
        <v>1774</v>
      </c>
    </row>
    <row r="428" spans="1:35" ht="26.25" x14ac:dyDescent="0.25">
      <c r="A428" s="18" t="s">
        <v>1775</v>
      </c>
      <c r="B428" s="19" t="s">
        <v>40</v>
      </c>
      <c r="C428" s="19" t="s">
        <v>1711</v>
      </c>
      <c r="D428" s="19" t="s">
        <v>1753</v>
      </c>
      <c r="E428" s="19" t="s">
        <v>1776</v>
      </c>
      <c r="F428" s="20"/>
      <c r="G428" s="21" t="s">
        <v>1777</v>
      </c>
      <c r="H428" s="18" t="s">
        <v>1769</v>
      </c>
      <c r="I428" s="19" t="s">
        <v>89</v>
      </c>
      <c r="J428" s="210"/>
      <c r="K428" s="250"/>
      <c r="L428" s="251"/>
      <c r="M428" s="252"/>
      <c r="N428" s="253"/>
      <c r="O428" s="252"/>
      <c r="P428" s="254"/>
      <c r="Q428" s="418"/>
      <c r="R428" s="419"/>
      <c r="S428" s="420"/>
      <c r="T428" s="421"/>
      <c r="U428" s="420"/>
      <c r="V428" s="422"/>
      <c r="W428" s="597"/>
      <c r="X428" s="598"/>
      <c r="Y428" s="599"/>
      <c r="Z428" s="600"/>
      <c r="AA428" s="599"/>
      <c r="AB428" s="601"/>
      <c r="AC428" s="781"/>
      <c r="AD428" s="782"/>
      <c r="AE428" s="783"/>
      <c r="AF428" s="784"/>
      <c r="AG428" s="783"/>
      <c r="AH428" s="957"/>
      <c r="AI428" s="913" t="s">
        <v>1770</v>
      </c>
    </row>
    <row r="429" spans="1:35" ht="26.25" x14ac:dyDescent="0.25">
      <c r="A429" s="18" t="s">
        <v>1778</v>
      </c>
      <c r="B429" s="19" t="s">
        <v>40</v>
      </c>
      <c r="C429" s="19" t="s">
        <v>1711</v>
      </c>
      <c r="D429" s="19" t="s">
        <v>1753</v>
      </c>
      <c r="E429" s="19" t="s">
        <v>1779</v>
      </c>
      <c r="F429" s="20"/>
      <c r="G429" s="21" t="s">
        <v>1779</v>
      </c>
      <c r="H429" s="18" t="s">
        <v>1769</v>
      </c>
      <c r="I429" s="19" t="s">
        <v>89</v>
      </c>
      <c r="J429" s="210"/>
      <c r="K429" s="250"/>
      <c r="L429" s="251"/>
      <c r="M429" s="252"/>
      <c r="N429" s="253"/>
      <c r="O429" s="252"/>
      <c r="P429" s="254"/>
      <c r="Q429" s="418"/>
      <c r="R429" s="419"/>
      <c r="S429" s="420"/>
      <c r="T429" s="421"/>
      <c r="U429" s="420"/>
      <c r="V429" s="422"/>
      <c r="W429" s="597"/>
      <c r="X429" s="598"/>
      <c r="Y429" s="599"/>
      <c r="Z429" s="600"/>
      <c r="AA429" s="599"/>
      <c r="AB429" s="601"/>
      <c r="AC429" s="781"/>
      <c r="AD429" s="782"/>
      <c r="AE429" s="783"/>
      <c r="AF429" s="784"/>
      <c r="AG429" s="783"/>
      <c r="AH429" s="957"/>
      <c r="AI429" s="913" t="s">
        <v>1770</v>
      </c>
    </row>
    <row r="430" spans="1:35" ht="26.25" x14ac:dyDescent="0.25">
      <c r="A430" s="18" t="s">
        <v>1780</v>
      </c>
      <c r="B430" s="19" t="s">
        <v>40</v>
      </c>
      <c r="C430" s="19" t="s">
        <v>1711</v>
      </c>
      <c r="D430" s="19" t="s">
        <v>1753</v>
      </c>
      <c r="E430" s="19" t="s">
        <v>1781</v>
      </c>
      <c r="F430" s="20"/>
      <c r="G430" s="21" t="s">
        <v>1781</v>
      </c>
      <c r="H430" s="18" t="s">
        <v>603</v>
      </c>
      <c r="I430" s="19" t="s">
        <v>213</v>
      </c>
      <c r="J430" s="210"/>
      <c r="K430" s="250"/>
      <c r="L430" s="251"/>
      <c r="M430" s="252"/>
      <c r="N430" s="253"/>
      <c r="O430" s="252"/>
      <c r="P430" s="254"/>
      <c r="Q430" s="418"/>
      <c r="R430" s="419"/>
      <c r="S430" s="420"/>
      <c r="T430" s="421"/>
      <c r="U430" s="420"/>
      <c r="V430" s="422"/>
      <c r="W430" s="597"/>
      <c r="X430" s="598"/>
      <c r="Y430" s="599"/>
      <c r="Z430" s="600"/>
      <c r="AA430" s="599"/>
      <c r="AB430" s="601"/>
      <c r="AC430" s="781"/>
      <c r="AD430" s="782"/>
      <c r="AE430" s="783"/>
      <c r="AF430" s="784"/>
      <c r="AG430" s="783"/>
      <c r="AH430" s="957"/>
      <c r="AI430" s="913" t="s">
        <v>1782</v>
      </c>
    </row>
    <row r="431" spans="1:35" ht="27" thickBot="1" x14ac:dyDescent="0.3">
      <c r="A431" s="154" t="s">
        <v>1783</v>
      </c>
      <c r="B431" s="155" t="s">
        <v>40</v>
      </c>
      <c r="C431" s="155" t="s">
        <v>1711</v>
      </c>
      <c r="D431" s="155" t="s">
        <v>1753</v>
      </c>
      <c r="E431" s="155"/>
      <c r="F431" s="156"/>
      <c r="G431" s="157" t="s">
        <v>1753</v>
      </c>
      <c r="H431" s="154" t="s">
        <v>1769</v>
      </c>
      <c r="I431" s="155" t="s">
        <v>89</v>
      </c>
      <c r="J431" s="224"/>
      <c r="K431" s="344"/>
      <c r="L431" s="345"/>
      <c r="M431" s="346"/>
      <c r="N431" s="347"/>
      <c r="O431" s="346"/>
      <c r="P431" s="348"/>
      <c r="Q431" s="519"/>
      <c r="R431" s="520"/>
      <c r="S431" s="521"/>
      <c r="T431" s="522"/>
      <c r="U431" s="521"/>
      <c r="V431" s="523"/>
      <c r="W431" s="703"/>
      <c r="X431" s="704"/>
      <c r="Y431" s="705"/>
      <c r="Z431" s="706"/>
      <c r="AA431" s="705"/>
      <c r="AB431" s="707"/>
      <c r="AC431" s="861"/>
      <c r="AD431" s="862"/>
      <c r="AE431" s="863"/>
      <c r="AF431" s="864"/>
      <c r="AG431" s="863"/>
      <c r="AH431" s="980"/>
      <c r="AI431" s="939"/>
    </row>
    <row r="432" spans="1:35" ht="45" x14ac:dyDescent="0.25">
      <c r="A432" s="158" t="s">
        <v>1784</v>
      </c>
      <c r="B432" s="159" t="s">
        <v>40</v>
      </c>
      <c r="C432" s="159" t="s">
        <v>1785</v>
      </c>
      <c r="D432" s="159" t="s">
        <v>1786</v>
      </c>
      <c r="E432" s="159"/>
      <c r="F432" s="160" t="s">
        <v>1786</v>
      </c>
      <c r="G432" s="161" t="s">
        <v>1786</v>
      </c>
      <c r="H432" s="158" t="s">
        <v>1787</v>
      </c>
      <c r="I432" s="159" t="s">
        <v>1788</v>
      </c>
      <c r="J432" s="225"/>
      <c r="K432" s="349" t="s">
        <v>1789</v>
      </c>
      <c r="L432" s="350" t="s">
        <v>1790</v>
      </c>
      <c r="M432" s="351">
        <f>(1051917/300)-K432</f>
        <v>464.38999999999987</v>
      </c>
      <c r="N432" s="352">
        <f>346/300</f>
        <v>1.1533333333333333</v>
      </c>
      <c r="O432" s="351">
        <f>(1051917/200)-K432</f>
        <v>2217.585</v>
      </c>
      <c r="P432" s="353">
        <f>346/200</f>
        <v>1.73</v>
      </c>
      <c r="Q432" s="524" t="s">
        <v>1791</v>
      </c>
      <c r="R432" s="525" t="s">
        <v>1792</v>
      </c>
      <c r="S432" s="526">
        <f>(578592/300)-Q432</f>
        <v>215.6400000000001</v>
      </c>
      <c r="T432" s="527">
        <f>338/300</f>
        <v>1.1266666666666667</v>
      </c>
      <c r="U432" s="526">
        <f>(578592/200)-Q432</f>
        <v>1179.96</v>
      </c>
      <c r="V432" s="528">
        <f>338/200</f>
        <v>1.69</v>
      </c>
      <c r="W432" s="708" t="s">
        <v>1793</v>
      </c>
      <c r="X432" s="709" t="s">
        <v>1794</v>
      </c>
      <c r="Y432" s="710">
        <f>(189789/300)-W432</f>
        <v>-92.37</v>
      </c>
      <c r="Z432" s="711">
        <f>261/300</f>
        <v>0.87</v>
      </c>
      <c r="AA432" s="710">
        <f>(189789/200)-W432</f>
        <v>223.94500000000005</v>
      </c>
      <c r="AB432" s="712">
        <f>261/338</f>
        <v>0.77218934911242598</v>
      </c>
      <c r="AC432" s="865" t="s">
        <v>1795</v>
      </c>
      <c r="AD432" s="866" t="s">
        <v>1796</v>
      </c>
      <c r="AE432" s="867">
        <f>(263509/300)-AC432</f>
        <v>274.36333333333334</v>
      </c>
      <c r="AF432" s="868">
        <f>426/300</f>
        <v>1.42</v>
      </c>
      <c r="AG432" s="867">
        <f>(263509/200)-AC432</f>
        <v>713.54500000000007</v>
      </c>
      <c r="AH432" s="981">
        <f>436/200</f>
        <v>2.1800000000000002</v>
      </c>
      <c r="AI432" s="940" t="s">
        <v>1797</v>
      </c>
    </row>
    <row r="433" spans="1:35" ht="51.75" x14ac:dyDescent="0.25">
      <c r="A433" s="110" t="s">
        <v>1798</v>
      </c>
      <c r="B433" s="111" t="s">
        <v>40</v>
      </c>
      <c r="C433" s="111" t="s">
        <v>1785</v>
      </c>
      <c r="D433" s="111" t="s">
        <v>1786</v>
      </c>
      <c r="E433" s="111"/>
      <c r="F433" s="112" t="s">
        <v>1799</v>
      </c>
      <c r="G433" s="113" t="s">
        <v>1262</v>
      </c>
      <c r="H433" s="110"/>
      <c r="I433" s="111"/>
      <c r="J433" s="210"/>
      <c r="K433" s="250"/>
      <c r="L433" s="251"/>
      <c r="M433" s="252"/>
      <c r="N433" s="253"/>
      <c r="O433" s="252"/>
      <c r="P433" s="254"/>
      <c r="Q433" s="418"/>
      <c r="R433" s="419"/>
      <c r="S433" s="420"/>
      <c r="T433" s="421"/>
      <c r="U433" s="420"/>
      <c r="V433" s="422"/>
      <c r="W433" s="597"/>
      <c r="X433" s="598"/>
      <c r="Y433" s="599"/>
      <c r="Z433" s="600"/>
      <c r="AA433" s="599"/>
      <c r="AB433" s="601"/>
      <c r="AC433" s="781"/>
      <c r="AD433" s="782"/>
      <c r="AE433" s="783"/>
      <c r="AF433" s="784"/>
      <c r="AG433" s="783"/>
      <c r="AH433" s="957"/>
      <c r="AI433" s="931"/>
    </row>
    <row r="434" spans="1:35" ht="64.5" x14ac:dyDescent="0.25">
      <c r="A434" s="32" t="s">
        <v>1800</v>
      </c>
      <c r="B434" s="33" t="s">
        <v>40</v>
      </c>
      <c r="C434" s="33" t="s">
        <v>1785</v>
      </c>
      <c r="D434" s="33" t="s">
        <v>1801</v>
      </c>
      <c r="E434" s="33"/>
      <c r="F434" s="34" t="s">
        <v>1291</v>
      </c>
      <c r="G434" s="35" t="s">
        <v>1801</v>
      </c>
      <c r="H434" s="32" t="s">
        <v>1802</v>
      </c>
      <c r="I434" s="33" t="s">
        <v>276</v>
      </c>
      <c r="J434" s="210"/>
      <c r="K434" s="250"/>
      <c r="L434" s="251"/>
      <c r="M434" s="252"/>
      <c r="N434" s="253"/>
      <c r="O434" s="252"/>
      <c r="P434" s="254"/>
      <c r="Q434" s="418"/>
      <c r="R434" s="419"/>
      <c r="S434" s="420"/>
      <c r="T434" s="421"/>
      <c r="U434" s="420"/>
      <c r="V434" s="422"/>
      <c r="W434" s="597"/>
      <c r="X434" s="598"/>
      <c r="Y434" s="599"/>
      <c r="Z434" s="600"/>
      <c r="AA434" s="599"/>
      <c r="AB434" s="601"/>
      <c r="AC434" s="781"/>
      <c r="AD434" s="782"/>
      <c r="AE434" s="783"/>
      <c r="AF434" s="784"/>
      <c r="AG434" s="783"/>
      <c r="AH434" s="957"/>
      <c r="AI434" s="916"/>
    </row>
    <row r="435" spans="1:35" ht="39" x14ac:dyDescent="0.25">
      <c r="A435" s="37" t="s">
        <v>1804</v>
      </c>
      <c r="B435" s="38" t="s">
        <v>40</v>
      </c>
      <c r="C435" s="38" t="s">
        <v>1785</v>
      </c>
      <c r="D435" s="38" t="s">
        <v>1805</v>
      </c>
      <c r="E435" s="38"/>
      <c r="F435" s="39" t="s">
        <v>1786</v>
      </c>
      <c r="G435" s="40" t="s">
        <v>1805</v>
      </c>
      <c r="H435" s="37" t="s">
        <v>1787</v>
      </c>
      <c r="I435" s="38" t="s">
        <v>1788</v>
      </c>
      <c r="J435" s="210"/>
      <c r="K435" s="250" t="s">
        <v>1319</v>
      </c>
      <c r="L435" s="251" t="s">
        <v>1319</v>
      </c>
      <c r="M435" s="252" t="s">
        <v>1319</v>
      </c>
      <c r="N435" s="253" t="s">
        <v>1319</v>
      </c>
      <c r="O435" s="252" t="s">
        <v>1319</v>
      </c>
      <c r="P435" s="254" t="s">
        <v>1319</v>
      </c>
      <c r="Q435" s="418" t="s">
        <v>1319</v>
      </c>
      <c r="R435" s="419" t="s">
        <v>1319</v>
      </c>
      <c r="S435" s="420" t="s">
        <v>1319</v>
      </c>
      <c r="T435" s="421" t="s">
        <v>1319</v>
      </c>
      <c r="U435" s="420" t="s">
        <v>1319</v>
      </c>
      <c r="V435" s="422" t="s">
        <v>1319</v>
      </c>
      <c r="W435" s="597" t="s">
        <v>1319</v>
      </c>
      <c r="X435" s="598" t="s">
        <v>1319</v>
      </c>
      <c r="Y435" s="599" t="s">
        <v>1319</v>
      </c>
      <c r="Z435" s="600" t="s">
        <v>1319</v>
      </c>
      <c r="AA435" s="599" t="s">
        <v>1319</v>
      </c>
      <c r="AB435" s="601" t="s">
        <v>1319</v>
      </c>
      <c r="AC435" s="781" t="s">
        <v>1319</v>
      </c>
      <c r="AD435" s="782" t="s">
        <v>1319</v>
      </c>
      <c r="AE435" s="783" t="s">
        <v>1319</v>
      </c>
      <c r="AF435" s="784" t="s">
        <v>1319</v>
      </c>
      <c r="AG435" s="783" t="s">
        <v>1319</v>
      </c>
      <c r="AH435" s="957" t="s">
        <v>1319</v>
      </c>
      <c r="AI435" s="917" t="s">
        <v>1797</v>
      </c>
    </row>
    <row r="436" spans="1:35" ht="51.75" x14ac:dyDescent="0.25">
      <c r="A436" s="110" t="s">
        <v>1806</v>
      </c>
      <c r="B436" s="111" t="s">
        <v>40</v>
      </c>
      <c r="C436" s="111" t="s">
        <v>1785</v>
      </c>
      <c r="D436" s="111" t="s">
        <v>1807</v>
      </c>
      <c r="E436" s="111"/>
      <c r="F436" s="112" t="s">
        <v>1808</v>
      </c>
      <c r="G436" s="113" t="s">
        <v>1262</v>
      </c>
      <c r="H436" s="110"/>
      <c r="I436" s="111"/>
      <c r="J436" s="210"/>
      <c r="K436" s="250"/>
      <c r="L436" s="251"/>
      <c r="M436" s="252"/>
      <c r="N436" s="253"/>
      <c r="O436" s="252"/>
      <c r="P436" s="254"/>
      <c r="Q436" s="418"/>
      <c r="R436" s="419"/>
      <c r="S436" s="420"/>
      <c r="T436" s="421"/>
      <c r="U436" s="420"/>
      <c r="V436" s="422"/>
      <c r="W436" s="597"/>
      <c r="X436" s="598"/>
      <c r="Y436" s="599"/>
      <c r="Z436" s="600"/>
      <c r="AA436" s="599"/>
      <c r="AB436" s="601"/>
      <c r="AC436" s="781"/>
      <c r="AD436" s="782"/>
      <c r="AE436" s="783"/>
      <c r="AF436" s="784"/>
      <c r="AG436" s="783"/>
      <c r="AH436" s="957"/>
      <c r="AI436" s="931"/>
    </row>
    <row r="437" spans="1:35" ht="64.5" x14ac:dyDescent="0.25">
      <c r="A437" s="110" t="s">
        <v>1809</v>
      </c>
      <c r="B437" s="111" t="s">
        <v>40</v>
      </c>
      <c r="C437" s="111" t="s">
        <v>1785</v>
      </c>
      <c r="D437" s="111" t="s">
        <v>1807</v>
      </c>
      <c r="E437" s="111"/>
      <c r="F437" s="112" t="s">
        <v>1810</v>
      </c>
      <c r="G437" s="113" t="s">
        <v>1262</v>
      </c>
      <c r="H437" s="110"/>
      <c r="I437" s="111"/>
      <c r="J437" s="210"/>
      <c r="K437" s="250"/>
      <c r="L437" s="251"/>
      <c r="M437" s="252"/>
      <c r="N437" s="253"/>
      <c r="O437" s="252"/>
      <c r="P437" s="254"/>
      <c r="Q437" s="418"/>
      <c r="R437" s="419"/>
      <c r="S437" s="420"/>
      <c r="T437" s="421"/>
      <c r="U437" s="420"/>
      <c r="V437" s="422"/>
      <c r="W437" s="597"/>
      <c r="X437" s="598"/>
      <c r="Y437" s="599"/>
      <c r="Z437" s="600"/>
      <c r="AA437" s="599"/>
      <c r="AB437" s="601"/>
      <c r="AC437" s="781"/>
      <c r="AD437" s="782"/>
      <c r="AE437" s="783"/>
      <c r="AF437" s="784"/>
      <c r="AG437" s="783"/>
      <c r="AH437" s="957"/>
      <c r="AI437" s="931"/>
    </row>
    <row r="438" spans="1:35" ht="51.75" x14ac:dyDescent="0.25">
      <c r="A438" s="110" t="s">
        <v>1811</v>
      </c>
      <c r="B438" s="111" t="s">
        <v>40</v>
      </c>
      <c r="C438" s="111" t="s">
        <v>1785</v>
      </c>
      <c r="D438" s="111" t="s">
        <v>1807</v>
      </c>
      <c r="E438" s="111"/>
      <c r="F438" s="112" t="s">
        <v>1812</v>
      </c>
      <c r="G438" s="113" t="s">
        <v>1262</v>
      </c>
      <c r="H438" s="110"/>
      <c r="I438" s="111"/>
      <c r="J438" s="210"/>
      <c r="K438" s="250"/>
      <c r="L438" s="251"/>
      <c r="M438" s="252"/>
      <c r="N438" s="253"/>
      <c r="O438" s="252"/>
      <c r="P438" s="254"/>
      <c r="Q438" s="418"/>
      <c r="R438" s="419"/>
      <c r="S438" s="420"/>
      <c r="T438" s="421"/>
      <c r="U438" s="420"/>
      <c r="V438" s="422"/>
      <c r="W438" s="597"/>
      <c r="X438" s="598"/>
      <c r="Y438" s="599"/>
      <c r="Z438" s="600"/>
      <c r="AA438" s="599"/>
      <c r="AB438" s="601"/>
      <c r="AC438" s="781"/>
      <c r="AD438" s="782"/>
      <c r="AE438" s="783"/>
      <c r="AF438" s="784"/>
      <c r="AG438" s="783"/>
      <c r="AH438" s="957"/>
      <c r="AI438" s="931"/>
    </row>
    <row r="439" spans="1:35" ht="39" x14ac:dyDescent="0.25">
      <c r="A439" s="18" t="s">
        <v>1813</v>
      </c>
      <c r="B439" s="19" t="s">
        <v>40</v>
      </c>
      <c r="C439" s="19" t="s">
        <v>1785</v>
      </c>
      <c r="D439" s="19" t="s">
        <v>1807</v>
      </c>
      <c r="E439" s="19" t="s">
        <v>1297</v>
      </c>
      <c r="F439" s="20"/>
      <c r="G439" s="21" t="s">
        <v>1814</v>
      </c>
      <c r="H439" s="18" t="s">
        <v>1815</v>
      </c>
      <c r="I439" s="19" t="s">
        <v>89</v>
      </c>
      <c r="J439" s="210"/>
      <c r="K439" s="250"/>
      <c r="L439" s="251"/>
      <c r="M439" s="252"/>
      <c r="N439" s="253"/>
      <c r="O439" s="252"/>
      <c r="P439" s="254"/>
      <c r="Q439" s="418"/>
      <c r="R439" s="419"/>
      <c r="S439" s="420"/>
      <c r="T439" s="421"/>
      <c r="U439" s="420"/>
      <c r="V439" s="422"/>
      <c r="W439" s="597"/>
      <c r="X439" s="598"/>
      <c r="Y439" s="599"/>
      <c r="Z439" s="600"/>
      <c r="AA439" s="599"/>
      <c r="AB439" s="601"/>
      <c r="AC439" s="781"/>
      <c r="AD439" s="782"/>
      <c r="AE439" s="783"/>
      <c r="AF439" s="784"/>
      <c r="AG439" s="783"/>
      <c r="AH439" s="957"/>
      <c r="AI439" s="913"/>
    </row>
    <row r="440" spans="1:35" ht="26.25" x14ac:dyDescent="0.25">
      <c r="A440" s="18" t="s">
        <v>1816</v>
      </c>
      <c r="B440" s="19" t="s">
        <v>40</v>
      </c>
      <c r="C440" s="19" t="s">
        <v>1785</v>
      </c>
      <c r="D440" s="19" t="s">
        <v>1807</v>
      </c>
      <c r="E440" s="19" t="s">
        <v>1817</v>
      </c>
      <c r="F440" s="20"/>
      <c r="G440" s="21" t="s">
        <v>1818</v>
      </c>
      <c r="H440" s="18" t="s">
        <v>1819</v>
      </c>
      <c r="I440" s="19" t="s">
        <v>89</v>
      </c>
      <c r="J440" s="210"/>
      <c r="K440" s="250"/>
      <c r="L440" s="251"/>
      <c r="M440" s="252"/>
      <c r="N440" s="253"/>
      <c r="O440" s="252"/>
      <c r="P440" s="254"/>
      <c r="Q440" s="418"/>
      <c r="R440" s="419"/>
      <c r="S440" s="420"/>
      <c r="T440" s="421"/>
      <c r="U440" s="420"/>
      <c r="V440" s="422"/>
      <c r="W440" s="597"/>
      <c r="X440" s="598"/>
      <c r="Y440" s="599"/>
      <c r="Z440" s="600"/>
      <c r="AA440" s="599"/>
      <c r="AB440" s="601"/>
      <c r="AC440" s="781"/>
      <c r="AD440" s="782"/>
      <c r="AE440" s="783"/>
      <c r="AF440" s="784"/>
      <c r="AG440" s="783"/>
      <c r="AH440" s="957"/>
      <c r="AI440" s="913"/>
    </row>
    <row r="441" spans="1:35" ht="26.25" x14ac:dyDescent="0.25">
      <c r="A441" s="18" t="s">
        <v>1820</v>
      </c>
      <c r="B441" s="19" t="s">
        <v>40</v>
      </c>
      <c r="C441" s="19" t="s">
        <v>1785</v>
      </c>
      <c r="D441" s="19" t="s">
        <v>1807</v>
      </c>
      <c r="E441" s="19" t="s">
        <v>1821</v>
      </c>
      <c r="F441" s="20"/>
      <c r="G441" s="21" t="s">
        <v>1822</v>
      </c>
      <c r="H441" s="18" t="s">
        <v>1823</v>
      </c>
      <c r="I441" s="19" t="s">
        <v>1788</v>
      </c>
      <c r="J441" s="210"/>
      <c r="K441" s="250"/>
      <c r="L441" s="251"/>
      <c r="M441" s="252"/>
      <c r="N441" s="253"/>
      <c r="O441" s="252"/>
      <c r="P441" s="254"/>
      <c r="Q441" s="418"/>
      <c r="R441" s="419"/>
      <c r="S441" s="420"/>
      <c r="T441" s="421"/>
      <c r="U441" s="420"/>
      <c r="V441" s="422"/>
      <c r="W441" s="597"/>
      <c r="X441" s="598"/>
      <c r="Y441" s="599"/>
      <c r="Z441" s="600"/>
      <c r="AA441" s="599"/>
      <c r="AB441" s="601"/>
      <c r="AC441" s="781"/>
      <c r="AD441" s="782"/>
      <c r="AE441" s="783"/>
      <c r="AF441" s="784"/>
      <c r="AG441" s="783"/>
      <c r="AH441" s="957"/>
      <c r="AI441" s="913"/>
    </row>
    <row r="442" spans="1:35" ht="26.25" x14ac:dyDescent="0.25">
      <c r="A442" s="18" t="s">
        <v>1824</v>
      </c>
      <c r="B442" s="19" t="s">
        <v>40</v>
      </c>
      <c r="C442" s="19" t="s">
        <v>1785</v>
      </c>
      <c r="D442" s="19" t="s">
        <v>1807</v>
      </c>
      <c r="E442" s="19" t="s">
        <v>1825</v>
      </c>
      <c r="F442" s="20"/>
      <c r="G442" s="21" t="s">
        <v>1826</v>
      </c>
      <c r="H442" s="18" t="s">
        <v>1827</v>
      </c>
      <c r="I442" s="19" t="s">
        <v>89</v>
      </c>
      <c r="J442" s="210"/>
      <c r="K442" s="250"/>
      <c r="L442" s="251"/>
      <c r="M442" s="252"/>
      <c r="N442" s="253"/>
      <c r="O442" s="252"/>
      <c r="P442" s="254"/>
      <c r="Q442" s="418"/>
      <c r="R442" s="419"/>
      <c r="S442" s="420"/>
      <c r="T442" s="421"/>
      <c r="U442" s="420"/>
      <c r="V442" s="422"/>
      <c r="W442" s="597"/>
      <c r="X442" s="598"/>
      <c r="Y442" s="599"/>
      <c r="Z442" s="600"/>
      <c r="AA442" s="599"/>
      <c r="AB442" s="601"/>
      <c r="AC442" s="781"/>
      <c r="AD442" s="782"/>
      <c r="AE442" s="783"/>
      <c r="AF442" s="784"/>
      <c r="AG442" s="783"/>
      <c r="AH442" s="957"/>
      <c r="AI442" s="913"/>
    </row>
    <row r="443" spans="1:35" ht="26.25" x14ac:dyDescent="0.25">
      <c r="A443" s="18" t="s">
        <v>1828</v>
      </c>
      <c r="B443" s="19" t="s">
        <v>40</v>
      </c>
      <c r="C443" s="19" t="s">
        <v>1785</v>
      </c>
      <c r="D443" s="19" t="s">
        <v>1807</v>
      </c>
      <c r="E443" s="19" t="s">
        <v>1829</v>
      </c>
      <c r="F443" s="20"/>
      <c r="G443" s="21" t="s">
        <v>1830</v>
      </c>
      <c r="H443" s="18" t="s">
        <v>1831</v>
      </c>
      <c r="I443" s="19" t="s">
        <v>556</v>
      </c>
      <c r="J443" s="210"/>
      <c r="K443" s="250"/>
      <c r="L443" s="251"/>
      <c r="M443" s="252"/>
      <c r="N443" s="253"/>
      <c r="O443" s="252"/>
      <c r="P443" s="254"/>
      <c r="Q443" s="418"/>
      <c r="R443" s="419"/>
      <c r="S443" s="420"/>
      <c r="T443" s="421"/>
      <c r="U443" s="420"/>
      <c r="V443" s="422"/>
      <c r="W443" s="597"/>
      <c r="X443" s="598"/>
      <c r="Y443" s="599"/>
      <c r="Z443" s="600"/>
      <c r="AA443" s="599"/>
      <c r="AB443" s="601"/>
      <c r="AC443" s="781"/>
      <c r="AD443" s="782"/>
      <c r="AE443" s="783"/>
      <c r="AF443" s="784"/>
      <c r="AG443" s="783"/>
      <c r="AH443" s="957"/>
      <c r="AI443" s="913"/>
    </row>
    <row r="444" spans="1:35" ht="26.25" x14ac:dyDescent="0.25">
      <c r="A444" s="18" t="s">
        <v>1832</v>
      </c>
      <c r="B444" s="19" t="s">
        <v>40</v>
      </c>
      <c r="C444" s="19" t="s">
        <v>1785</v>
      </c>
      <c r="D444" s="19" t="s">
        <v>1807</v>
      </c>
      <c r="E444" s="19" t="s">
        <v>1833</v>
      </c>
      <c r="F444" s="20"/>
      <c r="G444" s="21" t="s">
        <v>1834</v>
      </c>
      <c r="H444" s="18" t="s">
        <v>1835</v>
      </c>
      <c r="I444" s="19" t="s">
        <v>556</v>
      </c>
      <c r="J444" s="210"/>
      <c r="K444" s="250"/>
      <c r="L444" s="251"/>
      <c r="M444" s="252"/>
      <c r="N444" s="253"/>
      <c r="O444" s="252"/>
      <c r="P444" s="254"/>
      <c r="Q444" s="418"/>
      <c r="R444" s="419"/>
      <c r="S444" s="420"/>
      <c r="T444" s="421"/>
      <c r="U444" s="420"/>
      <c r="V444" s="422"/>
      <c r="W444" s="597"/>
      <c r="X444" s="598"/>
      <c r="Y444" s="599"/>
      <c r="Z444" s="600"/>
      <c r="AA444" s="599"/>
      <c r="AB444" s="601"/>
      <c r="AC444" s="781"/>
      <c r="AD444" s="782"/>
      <c r="AE444" s="783"/>
      <c r="AF444" s="784"/>
      <c r="AG444" s="783"/>
      <c r="AH444" s="957"/>
      <c r="AI444" s="913"/>
    </row>
    <row r="445" spans="1:35" ht="26.25" x14ac:dyDescent="0.25">
      <c r="A445" s="18" t="s">
        <v>1836</v>
      </c>
      <c r="B445" s="19" t="s">
        <v>40</v>
      </c>
      <c r="C445" s="19" t="s">
        <v>1785</v>
      </c>
      <c r="D445" s="19" t="s">
        <v>1807</v>
      </c>
      <c r="E445" s="19" t="s">
        <v>1837</v>
      </c>
      <c r="F445" s="20"/>
      <c r="G445" s="21" t="s">
        <v>1838</v>
      </c>
      <c r="H445" s="18" t="s">
        <v>1815</v>
      </c>
      <c r="I445" s="19" t="s">
        <v>89</v>
      </c>
      <c r="J445" s="210"/>
      <c r="K445" s="250"/>
      <c r="L445" s="251"/>
      <c r="M445" s="252"/>
      <c r="N445" s="253"/>
      <c r="O445" s="252"/>
      <c r="P445" s="254"/>
      <c r="Q445" s="418"/>
      <c r="R445" s="419"/>
      <c r="S445" s="420"/>
      <c r="T445" s="421"/>
      <c r="U445" s="420"/>
      <c r="V445" s="422"/>
      <c r="W445" s="597"/>
      <c r="X445" s="598"/>
      <c r="Y445" s="599"/>
      <c r="Z445" s="600"/>
      <c r="AA445" s="599"/>
      <c r="AB445" s="601"/>
      <c r="AC445" s="781"/>
      <c r="AD445" s="782"/>
      <c r="AE445" s="783"/>
      <c r="AF445" s="784"/>
      <c r="AG445" s="783"/>
      <c r="AH445" s="957"/>
      <c r="AI445" s="913"/>
    </row>
    <row r="446" spans="1:35" ht="26.25" x14ac:dyDescent="0.25">
      <c r="A446" s="18" t="s">
        <v>1839</v>
      </c>
      <c r="B446" s="19" t="s">
        <v>40</v>
      </c>
      <c r="C446" s="19" t="s">
        <v>1785</v>
      </c>
      <c r="D446" s="19" t="s">
        <v>1807</v>
      </c>
      <c r="E446" s="19" t="s">
        <v>1840</v>
      </c>
      <c r="F446" s="20"/>
      <c r="G446" s="21" t="s">
        <v>1841</v>
      </c>
      <c r="H446" s="18" t="s">
        <v>1842</v>
      </c>
      <c r="I446" s="19" t="s">
        <v>89</v>
      </c>
      <c r="J446" s="210"/>
      <c r="K446" s="250"/>
      <c r="L446" s="251"/>
      <c r="M446" s="252"/>
      <c r="N446" s="253"/>
      <c r="O446" s="252"/>
      <c r="P446" s="254"/>
      <c r="Q446" s="418"/>
      <c r="R446" s="419"/>
      <c r="S446" s="420"/>
      <c r="T446" s="421"/>
      <c r="U446" s="420"/>
      <c r="V446" s="422"/>
      <c r="W446" s="597"/>
      <c r="X446" s="598"/>
      <c r="Y446" s="599"/>
      <c r="Z446" s="600"/>
      <c r="AA446" s="599"/>
      <c r="AB446" s="601"/>
      <c r="AC446" s="781"/>
      <c r="AD446" s="782"/>
      <c r="AE446" s="783"/>
      <c r="AF446" s="784"/>
      <c r="AG446" s="783"/>
      <c r="AH446" s="957"/>
      <c r="AI446" s="913"/>
    </row>
    <row r="447" spans="1:35" ht="51.75" x14ac:dyDescent="0.25">
      <c r="A447" s="18" t="s">
        <v>1843</v>
      </c>
      <c r="B447" s="19" t="s">
        <v>40</v>
      </c>
      <c r="C447" s="19" t="s">
        <v>1785</v>
      </c>
      <c r="D447" s="19" t="s">
        <v>1807</v>
      </c>
      <c r="E447" s="19" t="s">
        <v>1844</v>
      </c>
      <c r="F447" s="20"/>
      <c r="G447" s="21" t="s">
        <v>1845</v>
      </c>
      <c r="H447" s="18" t="s">
        <v>1846</v>
      </c>
      <c r="I447" s="19" t="s">
        <v>89</v>
      </c>
      <c r="J447" s="210"/>
      <c r="K447" s="250"/>
      <c r="L447" s="251"/>
      <c r="M447" s="252"/>
      <c r="N447" s="253"/>
      <c r="O447" s="252"/>
      <c r="P447" s="254"/>
      <c r="Q447" s="418"/>
      <c r="R447" s="419"/>
      <c r="S447" s="420"/>
      <c r="T447" s="421"/>
      <c r="U447" s="420"/>
      <c r="V447" s="422"/>
      <c r="W447" s="597"/>
      <c r="X447" s="598"/>
      <c r="Y447" s="599"/>
      <c r="Z447" s="600"/>
      <c r="AA447" s="599"/>
      <c r="AB447" s="601"/>
      <c r="AC447" s="781"/>
      <c r="AD447" s="782"/>
      <c r="AE447" s="783"/>
      <c r="AF447" s="784"/>
      <c r="AG447" s="783"/>
      <c r="AH447" s="957"/>
      <c r="AI447" s="913"/>
    </row>
    <row r="448" spans="1:35" ht="26.25" x14ac:dyDescent="0.25">
      <c r="A448" s="18" t="s">
        <v>1847</v>
      </c>
      <c r="B448" s="19" t="s">
        <v>40</v>
      </c>
      <c r="C448" s="19" t="s">
        <v>1785</v>
      </c>
      <c r="D448" s="19" t="s">
        <v>1807</v>
      </c>
      <c r="E448" s="19" t="s">
        <v>86</v>
      </c>
      <c r="F448" s="20"/>
      <c r="G448" s="21" t="s">
        <v>1848</v>
      </c>
      <c r="H448" s="18" t="s">
        <v>1849</v>
      </c>
      <c r="I448" s="19" t="s">
        <v>89</v>
      </c>
      <c r="J448" s="210"/>
      <c r="K448" s="250"/>
      <c r="L448" s="251"/>
      <c r="M448" s="252"/>
      <c r="N448" s="253"/>
      <c r="O448" s="252"/>
      <c r="P448" s="254"/>
      <c r="Q448" s="418"/>
      <c r="R448" s="419"/>
      <c r="S448" s="420"/>
      <c r="T448" s="421"/>
      <c r="U448" s="420"/>
      <c r="V448" s="422"/>
      <c r="W448" s="597"/>
      <c r="X448" s="598"/>
      <c r="Y448" s="599"/>
      <c r="Z448" s="600"/>
      <c r="AA448" s="599"/>
      <c r="AB448" s="601"/>
      <c r="AC448" s="781"/>
      <c r="AD448" s="782"/>
      <c r="AE448" s="783"/>
      <c r="AF448" s="784"/>
      <c r="AG448" s="783"/>
      <c r="AH448" s="957"/>
      <c r="AI448" s="913"/>
    </row>
    <row r="449" spans="1:35" ht="26.25" x14ac:dyDescent="0.25">
      <c r="A449" s="18" t="s">
        <v>1850</v>
      </c>
      <c r="B449" s="19" t="s">
        <v>40</v>
      </c>
      <c r="C449" s="19" t="s">
        <v>1785</v>
      </c>
      <c r="D449" s="19" t="s">
        <v>1807</v>
      </c>
      <c r="E449" s="19" t="s">
        <v>1851</v>
      </c>
      <c r="F449" s="20"/>
      <c r="G449" s="21" t="s">
        <v>1852</v>
      </c>
      <c r="H449" s="18" t="s">
        <v>1853</v>
      </c>
      <c r="I449" s="19" t="s">
        <v>89</v>
      </c>
      <c r="J449" s="210"/>
      <c r="K449" s="250"/>
      <c r="L449" s="251"/>
      <c r="M449" s="252"/>
      <c r="N449" s="253"/>
      <c r="O449" s="252"/>
      <c r="P449" s="254"/>
      <c r="Q449" s="418"/>
      <c r="R449" s="419"/>
      <c r="S449" s="420"/>
      <c r="T449" s="421"/>
      <c r="U449" s="420"/>
      <c r="V449" s="422"/>
      <c r="W449" s="597"/>
      <c r="X449" s="598"/>
      <c r="Y449" s="599"/>
      <c r="Z449" s="600"/>
      <c r="AA449" s="599"/>
      <c r="AB449" s="601"/>
      <c r="AC449" s="781"/>
      <c r="AD449" s="782"/>
      <c r="AE449" s="783"/>
      <c r="AF449" s="784"/>
      <c r="AG449" s="783"/>
      <c r="AH449" s="957"/>
      <c r="AI449" s="913"/>
    </row>
    <row r="450" spans="1:35" ht="26.25" x14ac:dyDescent="0.25">
      <c r="A450" s="18" t="s">
        <v>1854</v>
      </c>
      <c r="B450" s="19" t="s">
        <v>40</v>
      </c>
      <c r="C450" s="19" t="s">
        <v>1785</v>
      </c>
      <c r="D450" s="19" t="s">
        <v>1807</v>
      </c>
      <c r="E450" s="19" t="s">
        <v>1855</v>
      </c>
      <c r="F450" s="20"/>
      <c r="G450" s="21" t="s">
        <v>1856</v>
      </c>
      <c r="H450" s="18" t="s">
        <v>1857</v>
      </c>
      <c r="I450" s="19" t="s">
        <v>89</v>
      </c>
      <c r="J450" s="210"/>
      <c r="K450" s="250"/>
      <c r="L450" s="251"/>
      <c r="M450" s="252"/>
      <c r="N450" s="253"/>
      <c r="O450" s="252"/>
      <c r="P450" s="254"/>
      <c r="Q450" s="418"/>
      <c r="R450" s="419"/>
      <c r="S450" s="420"/>
      <c r="T450" s="421"/>
      <c r="U450" s="420"/>
      <c r="V450" s="422"/>
      <c r="W450" s="597"/>
      <c r="X450" s="598"/>
      <c r="Y450" s="599"/>
      <c r="Z450" s="600"/>
      <c r="AA450" s="599"/>
      <c r="AB450" s="601"/>
      <c r="AC450" s="781"/>
      <c r="AD450" s="782"/>
      <c r="AE450" s="783"/>
      <c r="AF450" s="784"/>
      <c r="AG450" s="783"/>
      <c r="AH450" s="957"/>
      <c r="AI450" s="913"/>
    </row>
    <row r="451" spans="1:35" ht="26.25" x14ac:dyDescent="0.25">
      <c r="A451" s="18" t="s">
        <v>1858</v>
      </c>
      <c r="B451" s="19" t="s">
        <v>40</v>
      </c>
      <c r="C451" s="19" t="s">
        <v>1785</v>
      </c>
      <c r="D451" s="19" t="s">
        <v>1807</v>
      </c>
      <c r="E451" s="19" t="s">
        <v>1859</v>
      </c>
      <c r="F451" s="20"/>
      <c r="G451" s="21" t="s">
        <v>1860</v>
      </c>
      <c r="H451" s="18" t="s">
        <v>1861</v>
      </c>
      <c r="I451" s="19" t="s">
        <v>89</v>
      </c>
      <c r="J451" s="210"/>
      <c r="K451" s="250"/>
      <c r="L451" s="251"/>
      <c r="M451" s="252"/>
      <c r="N451" s="253"/>
      <c r="O451" s="252"/>
      <c r="P451" s="254"/>
      <c r="Q451" s="418"/>
      <c r="R451" s="419"/>
      <c r="S451" s="420"/>
      <c r="T451" s="421"/>
      <c r="U451" s="420"/>
      <c r="V451" s="422"/>
      <c r="W451" s="597"/>
      <c r="X451" s="598"/>
      <c r="Y451" s="599"/>
      <c r="Z451" s="600"/>
      <c r="AA451" s="599"/>
      <c r="AB451" s="601"/>
      <c r="AC451" s="781"/>
      <c r="AD451" s="782"/>
      <c r="AE451" s="783"/>
      <c r="AF451" s="784"/>
      <c r="AG451" s="783"/>
      <c r="AH451" s="957"/>
      <c r="AI451" s="913"/>
    </row>
    <row r="452" spans="1:35" ht="26.25" x14ac:dyDescent="0.25">
      <c r="A452" s="18" t="s">
        <v>1862</v>
      </c>
      <c r="B452" s="19" t="s">
        <v>40</v>
      </c>
      <c r="C452" s="19" t="s">
        <v>1785</v>
      </c>
      <c r="D452" s="19" t="s">
        <v>1807</v>
      </c>
      <c r="E452" s="19" t="s">
        <v>1863</v>
      </c>
      <c r="F452" s="20"/>
      <c r="G452" s="21" t="s">
        <v>1864</v>
      </c>
      <c r="H452" s="18" t="s">
        <v>1865</v>
      </c>
      <c r="I452" s="19" t="s">
        <v>89</v>
      </c>
      <c r="J452" s="210"/>
      <c r="K452" s="250"/>
      <c r="L452" s="251"/>
      <c r="M452" s="252"/>
      <c r="N452" s="253"/>
      <c r="O452" s="252"/>
      <c r="P452" s="254"/>
      <c r="Q452" s="418"/>
      <c r="R452" s="419"/>
      <c r="S452" s="420"/>
      <c r="T452" s="421"/>
      <c r="U452" s="420"/>
      <c r="V452" s="422"/>
      <c r="W452" s="597"/>
      <c r="X452" s="598"/>
      <c r="Y452" s="599"/>
      <c r="Z452" s="600"/>
      <c r="AA452" s="599"/>
      <c r="AB452" s="601"/>
      <c r="AC452" s="781"/>
      <c r="AD452" s="782"/>
      <c r="AE452" s="783"/>
      <c r="AF452" s="784"/>
      <c r="AG452" s="783"/>
      <c r="AH452" s="957"/>
      <c r="AI452" s="913"/>
    </row>
    <row r="453" spans="1:35" ht="26.25" x14ac:dyDescent="0.25">
      <c r="A453" s="18" t="s">
        <v>1866</v>
      </c>
      <c r="B453" s="19" t="s">
        <v>40</v>
      </c>
      <c r="C453" s="19" t="s">
        <v>1785</v>
      </c>
      <c r="D453" s="19" t="s">
        <v>1807</v>
      </c>
      <c r="E453" s="19" t="s">
        <v>1867</v>
      </c>
      <c r="F453" s="20"/>
      <c r="G453" s="21" t="s">
        <v>1868</v>
      </c>
      <c r="H453" s="18" t="s">
        <v>1865</v>
      </c>
      <c r="I453" s="19" t="s">
        <v>89</v>
      </c>
      <c r="J453" s="210"/>
      <c r="K453" s="250"/>
      <c r="L453" s="251"/>
      <c r="M453" s="252"/>
      <c r="N453" s="253"/>
      <c r="O453" s="252"/>
      <c r="P453" s="254"/>
      <c r="Q453" s="418"/>
      <c r="R453" s="419"/>
      <c r="S453" s="420"/>
      <c r="T453" s="421"/>
      <c r="U453" s="420"/>
      <c r="V453" s="422"/>
      <c r="W453" s="597"/>
      <c r="X453" s="598"/>
      <c r="Y453" s="599"/>
      <c r="Z453" s="600"/>
      <c r="AA453" s="599"/>
      <c r="AB453" s="601"/>
      <c r="AC453" s="781"/>
      <c r="AD453" s="782"/>
      <c r="AE453" s="783"/>
      <c r="AF453" s="784"/>
      <c r="AG453" s="783"/>
      <c r="AH453" s="957"/>
      <c r="AI453" s="913"/>
    </row>
    <row r="454" spans="1:35" ht="26.25" x14ac:dyDescent="0.25">
      <c r="A454" s="18" t="s">
        <v>1869</v>
      </c>
      <c r="B454" s="19" t="s">
        <v>40</v>
      </c>
      <c r="C454" s="19" t="s">
        <v>1785</v>
      </c>
      <c r="D454" s="19" t="s">
        <v>1807</v>
      </c>
      <c r="E454" s="19" t="s">
        <v>388</v>
      </c>
      <c r="F454" s="20"/>
      <c r="G454" s="21" t="s">
        <v>1870</v>
      </c>
      <c r="H454" s="18" t="s">
        <v>1865</v>
      </c>
      <c r="I454" s="19" t="s">
        <v>89</v>
      </c>
      <c r="J454" s="210"/>
      <c r="K454" s="250"/>
      <c r="L454" s="251"/>
      <c r="M454" s="252"/>
      <c r="N454" s="253"/>
      <c r="O454" s="252"/>
      <c r="P454" s="254"/>
      <c r="Q454" s="418"/>
      <c r="R454" s="419"/>
      <c r="S454" s="420"/>
      <c r="T454" s="421"/>
      <c r="U454" s="420"/>
      <c r="V454" s="422"/>
      <c r="W454" s="597"/>
      <c r="X454" s="598"/>
      <c r="Y454" s="599"/>
      <c r="Z454" s="600"/>
      <c r="AA454" s="599"/>
      <c r="AB454" s="601"/>
      <c r="AC454" s="781"/>
      <c r="AD454" s="782"/>
      <c r="AE454" s="783"/>
      <c r="AF454" s="784"/>
      <c r="AG454" s="783"/>
      <c r="AH454" s="957"/>
      <c r="AI454" s="913"/>
    </row>
    <row r="455" spans="1:35" ht="26.25" x14ac:dyDescent="0.25">
      <c r="A455" s="18" t="s">
        <v>1871</v>
      </c>
      <c r="B455" s="19" t="s">
        <v>40</v>
      </c>
      <c r="C455" s="19" t="s">
        <v>1785</v>
      </c>
      <c r="D455" s="19" t="s">
        <v>1807</v>
      </c>
      <c r="E455" s="19" t="s">
        <v>317</v>
      </c>
      <c r="F455" s="20"/>
      <c r="G455" s="21" t="s">
        <v>1872</v>
      </c>
      <c r="H455" s="18" t="s">
        <v>1873</v>
      </c>
      <c r="I455" s="19" t="s">
        <v>556</v>
      </c>
      <c r="J455" s="210"/>
      <c r="K455" s="250"/>
      <c r="L455" s="251"/>
      <c r="M455" s="252"/>
      <c r="N455" s="253"/>
      <c r="O455" s="252"/>
      <c r="P455" s="254"/>
      <c r="Q455" s="418"/>
      <c r="R455" s="419"/>
      <c r="S455" s="420"/>
      <c r="T455" s="421"/>
      <c r="U455" s="420"/>
      <c r="V455" s="422"/>
      <c r="W455" s="597"/>
      <c r="X455" s="598"/>
      <c r="Y455" s="599"/>
      <c r="Z455" s="600"/>
      <c r="AA455" s="599"/>
      <c r="AB455" s="601"/>
      <c r="AC455" s="781"/>
      <c r="AD455" s="782"/>
      <c r="AE455" s="783"/>
      <c r="AF455" s="784"/>
      <c r="AG455" s="783"/>
      <c r="AH455" s="957"/>
      <c r="AI455" s="913"/>
    </row>
    <row r="456" spans="1:35" ht="26.25" x14ac:dyDescent="0.25">
      <c r="A456" s="18" t="s">
        <v>1874</v>
      </c>
      <c r="B456" s="19" t="s">
        <v>40</v>
      </c>
      <c r="C456" s="19" t="s">
        <v>1785</v>
      </c>
      <c r="D456" s="19" t="s">
        <v>1807</v>
      </c>
      <c r="E456" s="19" t="s">
        <v>1875</v>
      </c>
      <c r="F456" s="20"/>
      <c r="G456" s="21" t="s">
        <v>1876</v>
      </c>
      <c r="H456" s="18" t="s">
        <v>1877</v>
      </c>
      <c r="I456" s="19" t="s">
        <v>432</v>
      </c>
      <c r="J456" s="210"/>
      <c r="K456" s="250"/>
      <c r="L456" s="251"/>
      <c r="M456" s="252"/>
      <c r="N456" s="253"/>
      <c r="O456" s="252"/>
      <c r="P456" s="254"/>
      <c r="Q456" s="418"/>
      <c r="R456" s="419"/>
      <c r="S456" s="420"/>
      <c r="T456" s="421"/>
      <c r="U456" s="420"/>
      <c r="V456" s="422"/>
      <c r="W456" s="597"/>
      <c r="X456" s="598"/>
      <c r="Y456" s="599"/>
      <c r="Z456" s="600"/>
      <c r="AA456" s="599"/>
      <c r="AB456" s="601"/>
      <c r="AC456" s="781"/>
      <c r="AD456" s="782"/>
      <c r="AE456" s="783"/>
      <c r="AF456" s="784"/>
      <c r="AG456" s="783"/>
      <c r="AH456" s="957"/>
      <c r="AI456" s="913"/>
    </row>
    <row r="457" spans="1:35" ht="26.25" x14ac:dyDescent="0.25">
      <c r="A457" s="18" t="s">
        <v>1878</v>
      </c>
      <c r="B457" s="19" t="s">
        <v>40</v>
      </c>
      <c r="C457" s="19" t="s">
        <v>1785</v>
      </c>
      <c r="D457" s="19" t="s">
        <v>1807</v>
      </c>
      <c r="E457" s="19" t="s">
        <v>1879</v>
      </c>
      <c r="F457" s="20"/>
      <c r="G457" s="21" t="s">
        <v>1880</v>
      </c>
      <c r="H457" s="18" t="s">
        <v>1853</v>
      </c>
      <c r="I457" s="19" t="s">
        <v>89</v>
      </c>
      <c r="J457" s="210"/>
      <c r="K457" s="250"/>
      <c r="L457" s="251"/>
      <c r="M457" s="252"/>
      <c r="N457" s="253"/>
      <c r="O457" s="252"/>
      <c r="P457" s="254"/>
      <c r="Q457" s="418"/>
      <c r="R457" s="419"/>
      <c r="S457" s="420"/>
      <c r="T457" s="421"/>
      <c r="U457" s="420"/>
      <c r="V457" s="422"/>
      <c r="W457" s="597"/>
      <c r="X457" s="598"/>
      <c r="Y457" s="599"/>
      <c r="Z457" s="600"/>
      <c r="AA457" s="599"/>
      <c r="AB457" s="601"/>
      <c r="AC457" s="781"/>
      <c r="AD457" s="782"/>
      <c r="AE457" s="783"/>
      <c r="AF457" s="784"/>
      <c r="AG457" s="783"/>
      <c r="AH457" s="957"/>
      <c r="AI457" s="913"/>
    </row>
    <row r="458" spans="1:35" ht="26.25" x14ac:dyDescent="0.25">
      <c r="A458" s="18" t="s">
        <v>1881</v>
      </c>
      <c r="B458" s="19" t="s">
        <v>40</v>
      </c>
      <c r="C458" s="19" t="s">
        <v>1785</v>
      </c>
      <c r="D458" s="19" t="s">
        <v>1807</v>
      </c>
      <c r="E458" s="19" t="s">
        <v>1882</v>
      </c>
      <c r="F458" s="20"/>
      <c r="G458" s="21" t="s">
        <v>1883</v>
      </c>
      <c r="H458" s="18" t="s">
        <v>1884</v>
      </c>
      <c r="I458" s="19" t="s">
        <v>432</v>
      </c>
      <c r="J458" s="210"/>
      <c r="K458" s="250"/>
      <c r="L458" s="251"/>
      <c r="M458" s="252"/>
      <c r="N458" s="253"/>
      <c r="O458" s="252"/>
      <c r="P458" s="254"/>
      <c r="Q458" s="418"/>
      <c r="R458" s="419"/>
      <c r="S458" s="420"/>
      <c r="T458" s="421"/>
      <c r="U458" s="420"/>
      <c r="V458" s="422"/>
      <c r="W458" s="597"/>
      <c r="X458" s="598"/>
      <c r="Y458" s="599"/>
      <c r="Z458" s="600"/>
      <c r="AA458" s="599"/>
      <c r="AB458" s="601"/>
      <c r="AC458" s="781"/>
      <c r="AD458" s="782"/>
      <c r="AE458" s="783"/>
      <c r="AF458" s="784"/>
      <c r="AG458" s="783"/>
      <c r="AH458" s="957"/>
      <c r="AI458" s="913"/>
    </row>
    <row r="459" spans="1:35" ht="26.25" x14ac:dyDescent="0.25">
      <c r="A459" s="18" t="s">
        <v>1885</v>
      </c>
      <c r="B459" s="19" t="s">
        <v>40</v>
      </c>
      <c r="C459" s="19" t="s">
        <v>1785</v>
      </c>
      <c r="D459" s="19" t="s">
        <v>1807</v>
      </c>
      <c r="E459" s="19" t="s">
        <v>1886</v>
      </c>
      <c r="F459" s="20"/>
      <c r="G459" s="21" t="s">
        <v>1887</v>
      </c>
      <c r="H459" s="18" t="s">
        <v>1877</v>
      </c>
      <c r="I459" s="19" t="s">
        <v>89</v>
      </c>
      <c r="J459" s="210"/>
      <c r="K459" s="250"/>
      <c r="L459" s="251"/>
      <c r="M459" s="252"/>
      <c r="N459" s="253"/>
      <c r="O459" s="252"/>
      <c r="P459" s="254"/>
      <c r="Q459" s="418"/>
      <c r="R459" s="419"/>
      <c r="S459" s="420"/>
      <c r="T459" s="421"/>
      <c r="U459" s="420"/>
      <c r="V459" s="422"/>
      <c r="W459" s="597"/>
      <c r="X459" s="598"/>
      <c r="Y459" s="599"/>
      <c r="Z459" s="600"/>
      <c r="AA459" s="599"/>
      <c r="AB459" s="601"/>
      <c r="AC459" s="781"/>
      <c r="AD459" s="782"/>
      <c r="AE459" s="783"/>
      <c r="AF459" s="784"/>
      <c r="AG459" s="783"/>
      <c r="AH459" s="957"/>
      <c r="AI459" s="913"/>
    </row>
    <row r="460" spans="1:35" ht="26.25" x14ac:dyDescent="0.25">
      <c r="A460" s="18" t="s">
        <v>1888</v>
      </c>
      <c r="B460" s="19" t="s">
        <v>40</v>
      </c>
      <c r="C460" s="19" t="s">
        <v>1785</v>
      </c>
      <c r="D460" s="19" t="s">
        <v>1807</v>
      </c>
      <c r="E460" s="19" t="s">
        <v>1889</v>
      </c>
      <c r="F460" s="20"/>
      <c r="G460" s="21" t="s">
        <v>1890</v>
      </c>
      <c r="H460" s="18" t="s">
        <v>1842</v>
      </c>
      <c r="I460" s="19" t="s">
        <v>89</v>
      </c>
      <c r="J460" s="210"/>
      <c r="K460" s="250"/>
      <c r="L460" s="251"/>
      <c r="M460" s="252"/>
      <c r="N460" s="253"/>
      <c r="O460" s="252"/>
      <c r="P460" s="254"/>
      <c r="Q460" s="418"/>
      <c r="R460" s="419"/>
      <c r="S460" s="420"/>
      <c r="T460" s="421"/>
      <c r="U460" s="420"/>
      <c r="V460" s="422"/>
      <c r="W460" s="597"/>
      <c r="X460" s="598"/>
      <c r="Y460" s="599"/>
      <c r="Z460" s="600"/>
      <c r="AA460" s="599"/>
      <c r="AB460" s="601"/>
      <c r="AC460" s="781"/>
      <c r="AD460" s="782"/>
      <c r="AE460" s="783"/>
      <c r="AF460" s="784"/>
      <c r="AG460" s="783"/>
      <c r="AH460" s="957"/>
      <c r="AI460" s="913"/>
    </row>
    <row r="461" spans="1:35" ht="26.25" x14ac:dyDescent="0.25">
      <c r="A461" s="18" t="s">
        <v>1891</v>
      </c>
      <c r="B461" s="19" t="s">
        <v>40</v>
      </c>
      <c r="C461" s="19" t="s">
        <v>1785</v>
      </c>
      <c r="D461" s="19" t="s">
        <v>1807</v>
      </c>
      <c r="E461" s="19" t="s">
        <v>1892</v>
      </c>
      <c r="F461" s="20"/>
      <c r="G461" s="21" t="s">
        <v>1893</v>
      </c>
      <c r="H461" s="18" t="s">
        <v>1842</v>
      </c>
      <c r="I461" s="19" t="s">
        <v>89</v>
      </c>
      <c r="J461" s="210"/>
      <c r="K461" s="250"/>
      <c r="L461" s="251"/>
      <c r="M461" s="252"/>
      <c r="N461" s="253"/>
      <c r="O461" s="252"/>
      <c r="P461" s="254"/>
      <c r="Q461" s="418"/>
      <c r="R461" s="419"/>
      <c r="S461" s="420"/>
      <c r="T461" s="421"/>
      <c r="U461" s="420"/>
      <c r="V461" s="422"/>
      <c r="W461" s="597"/>
      <c r="X461" s="598"/>
      <c r="Y461" s="599"/>
      <c r="Z461" s="600"/>
      <c r="AA461" s="599"/>
      <c r="AB461" s="601"/>
      <c r="AC461" s="781"/>
      <c r="AD461" s="782"/>
      <c r="AE461" s="783"/>
      <c r="AF461" s="784"/>
      <c r="AG461" s="783"/>
      <c r="AH461" s="957"/>
      <c r="AI461" s="913"/>
    </row>
    <row r="462" spans="1:35" ht="26.25" x14ac:dyDescent="0.25">
      <c r="A462" s="18" t="s">
        <v>1894</v>
      </c>
      <c r="B462" s="19" t="s">
        <v>40</v>
      </c>
      <c r="C462" s="19" t="s">
        <v>1785</v>
      </c>
      <c r="D462" s="19" t="s">
        <v>1807</v>
      </c>
      <c r="E462" s="19" t="s">
        <v>1895</v>
      </c>
      <c r="F462" s="20"/>
      <c r="G462" s="21" t="s">
        <v>1896</v>
      </c>
      <c r="H462" s="18" t="s">
        <v>1897</v>
      </c>
      <c r="I462" s="19" t="s">
        <v>89</v>
      </c>
      <c r="J462" s="210"/>
      <c r="K462" s="250"/>
      <c r="L462" s="251"/>
      <c r="M462" s="252"/>
      <c r="N462" s="253"/>
      <c r="O462" s="252"/>
      <c r="P462" s="254"/>
      <c r="Q462" s="418"/>
      <c r="R462" s="419"/>
      <c r="S462" s="420"/>
      <c r="T462" s="421"/>
      <c r="U462" s="420"/>
      <c r="V462" s="422"/>
      <c r="W462" s="597"/>
      <c r="X462" s="598"/>
      <c r="Y462" s="599"/>
      <c r="Z462" s="600"/>
      <c r="AA462" s="599"/>
      <c r="AB462" s="601"/>
      <c r="AC462" s="781"/>
      <c r="AD462" s="782"/>
      <c r="AE462" s="783"/>
      <c r="AF462" s="784"/>
      <c r="AG462" s="783"/>
      <c r="AH462" s="957"/>
      <c r="AI462" s="913"/>
    </row>
    <row r="463" spans="1:35" ht="26.25" x14ac:dyDescent="0.25">
      <c r="A463" s="18" t="s">
        <v>1898</v>
      </c>
      <c r="B463" s="19" t="s">
        <v>40</v>
      </c>
      <c r="C463" s="19" t="s">
        <v>1785</v>
      </c>
      <c r="D463" s="19" t="s">
        <v>1807</v>
      </c>
      <c r="E463" s="19" t="s">
        <v>1899</v>
      </c>
      <c r="F463" s="20"/>
      <c r="G463" s="21" t="s">
        <v>1900</v>
      </c>
      <c r="H463" s="18" t="s">
        <v>1901</v>
      </c>
      <c r="I463" s="19" t="s">
        <v>89</v>
      </c>
      <c r="J463" s="210"/>
      <c r="K463" s="250"/>
      <c r="L463" s="251"/>
      <c r="M463" s="252"/>
      <c r="N463" s="253"/>
      <c r="O463" s="252"/>
      <c r="P463" s="254"/>
      <c r="Q463" s="418"/>
      <c r="R463" s="419"/>
      <c r="S463" s="420"/>
      <c r="T463" s="421"/>
      <c r="U463" s="420"/>
      <c r="V463" s="422"/>
      <c r="W463" s="597"/>
      <c r="X463" s="598"/>
      <c r="Y463" s="599"/>
      <c r="Z463" s="600"/>
      <c r="AA463" s="599"/>
      <c r="AB463" s="601"/>
      <c r="AC463" s="781"/>
      <c r="AD463" s="782"/>
      <c r="AE463" s="783"/>
      <c r="AF463" s="784"/>
      <c r="AG463" s="783"/>
      <c r="AH463" s="957"/>
      <c r="AI463" s="913"/>
    </row>
    <row r="464" spans="1:35" ht="26.25" x14ac:dyDescent="0.25">
      <c r="A464" s="18" t="s">
        <v>1902</v>
      </c>
      <c r="B464" s="19" t="s">
        <v>40</v>
      </c>
      <c r="C464" s="19" t="s">
        <v>1785</v>
      </c>
      <c r="D464" s="19" t="s">
        <v>1807</v>
      </c>
      <c r="E464" s="19" t="s">
        <v>1903</v>
      </c>
      <c r="F464" s="20"/>
      <c r="G464" s="21" t="s">
        <v>1904</v>
      </c>
      <c r="H464" s="18" t="s">
        <v>1905</v>
      </c>
      <c r="I464" s="19" t="s">
        <v>432</v>
      </c>
      <c r="J464" s="210"/>
      <c r="K464" s="250"/>
      <c r="L464" s="251"/>
      <c r="M464" s="252"/>
      <c r="N464" s="253"/>
      <c r="O464" s="252"/>
      <c r="P464" s="254"/>
      <c r="Q464" s="418"/>
      <c r="R464" s="419"/>
      <c r="S464" s="420"/>
      <c r="T464" s="421"/>
      <c r="U464" s="420"/>
      <c r="V464" s="422"/>
      <c r="W464" s="597"/>
      <c r="X464" s="598"/>
      <c r="Y464" s="599"/>
      <c r="Z464" s="600"/>
      <c r="AA464" s="599"/>
      <c r="AB464" s="601"/>
      <c r="AC464" s="781"/>
      <c r="AD464" s="782"/>
      <c r="AE464" s="783"/>
      <c r="AF464" s="784"/>
      <c r="AG464" s="783"/>
      <c r="AH464" s="957"/>
      <c r="AI464" s="913"/>
    </row>
    <row r="465" spans="1:35" ht="26.25" x14ac:dyDescent="0.25">
      <c r="A465" s="18" t="s">
        <v>1906</v>
      </c>
      <c r="B465" s="19" t="s">
        <v>40</v>
      </c>
      <c r="C465" s="19" t="s">
        <v>1785</v>
      </c>
      <c r="D465" s="19" t="s">
        <v>1807</v>
      </c>
      <c r="E465" s="19" t="s">
        <v>1907</v>
      </c>
      <c r="F465" s="20"/>
      <c r="G465" s="21" t="s">
        <v>1908</v>
      </c>
      <c r="H465" s="18" t="s">
        <v>1909</v>
      </c>
      <c r="I465" s="19" t="s">
        <v>89</v>
      </c>
      <c r="J465" s="210"/>
      <c r="K465" s="250"/>
      <c r="L465" s="251"/>
      <c r="M465" s="252"/>
      <c r="N465" s="253"/>
      <c r="O465" s="252"/>
      <c r="P465" s="254"/>
      <c r="Q465" s="418"/>
      <c r="R465" s="419"/>
      <c r="S465" s="420"/>
      <c r="T465" s="421"/>
      <c r="U465" s="420"/>
      <c r="V465" s="422"/>
      <c r="W465" s="597"/>
      <c r="X465" s="598"/>
      <c r="Y465" s="599"/>
      <c r="Z465" s="600"/>
      <c r="AA465" s="599"/>
      <c r="AB465" s="601"/>
      <c r="AC465" s="781"/>
      <c r="AD465" s="782"/>
      <c r="AE465" s="783"/>
      <c r="AF465" s="784"/>
      <c r="AG465" s="783"/>
      <c r="AH465" s="957"/>
      <c r="AI465" s="913"/>
    </row>
    <row r="466" spans="1:35" ht="26.25" x14ac:dyDescent="0.25">
      <c r="A466" s="18" t="s">
        <v>1910</v>
      </c>
      <c r="B466" s="19" t="s">
        <v>40</v>
      </c>
      <c r="C466" s="19" t="s">
        <v>1785</v>
      </c>
      <c r="D466" s="19" t="s">
        <v>1807</v>
      </c>
      <c r="E466" s="19" t="s">
        <v>1911</v>
      </c>
      <c r="F466" s="20"/>
      <c r="G466" s="21" t="s">
        <v>1912</v>
      </c>
      <c r="H466" s="18" t="s">
        <v>1853</v>
      </c>
      <c r="I466" s="19" t="s">
        <v>432</v>
      </c>
      <c r="J466" s="210"/>
      <c r="K466" s="250"/>
      <c r="L466" s="251"/>
      <c r="M466" s="252"/>
      <c r="N466" s="253"/>
      <c r="O466" s="252"/>
      <c r="P466" s="254"/>
      <c r="Q466" s="418"/>
      <c r="R466" s="419"/>
      <c r="S466" s="420"/>
      <c r="T466" s="421"/>
      <c r="U466" s="420"/>
      <c r="V466" s="422"/>
      <c r="W466" s="597"/>
      <c r="X466" s="598"/>
      <c r="Y466" s="599"/>
      <c r="Z466" s="600"/>
      <c r="AA466" s="599"/>
      <c r="AB466" s="601"/>
      <c r="AC466" s="781"/>
      <c r="AD466" s="782"/>
      <c r="AE466" s="783"/>
      <c r="AF466" s="784"/>
      <c r="AG466" s="783"/>
      <c r="AH466" s="957"/>
      <c r="AI466" s="913"/>
    </row>
    <row r="467" spans="1:35" ht="26.25" x14ac:dyDescent="0.25">
      <c r="A467" s="18" t="s">
        <v>1913</v>
      </c>
      <c r="B467" s="19" t="s">
        <v>40</v>
      </c>
      <c r="C467" s="19" t="s">
        <v>1785</v>
      </c>
      <c r="D467" s="19" t="s">
        <v>1807</v>
      </c>
      <c r="E467" s="19" t="s">
        <v>426</v>
      </c>
      <c r="F467" s="20"/>
      <c r="G467" s="21" t="s">
        <v>1914</v>
      </c>
      <c r="H467" s="18" t="s">
        <v>1853</v>
      </c>
      <c r="I467" s="19" t="s">
        <v>89</v>
      </c>
      <c r="J467" s="210"/>
      <c r="K467" s="250"/>
      <c r="L467" s="251"/>
      <c r="M467" s="252"/>
      <c r="N467" s="253"/>
      <c r="O467" s="252"/>
      <c r="P467" s="254"/>
      <c r="Q467" s="418"/>
      <c r="R467" s="419"/>
      <c r="S467" s="420"/>
      <c r="T467" s="421"/>
      <c r="U467" s="420"/>
      <c r="V467" s="422"/>
      <c r="W467" s="597"/>
      <c r="X467" s="598"/>
      <c r="Y467" s="599"/>
      <c r="Z467" s="600"/>
      <c r="AA467" s="599"/>
      <c r="AB467" s="601"/>
      <c r="AC467" s="781"/>
      <c r="AD467" s="782"/>
      <c r="AE467" s="783"/>
      <c r="AF467" s="784"/>
      <c r="AG467" s="783"/>
      <c r="AH467" s="957"/>
      <c r="AI467" s="913"/>
    </row>
    <row r="468" spans="1:35" ht="26.25" x14ac:dyDescent="0.25">
      <c r="A468" s="18" t="s">
        <v>1915</v>
      </c>
      <c r="B468" s="19" t="s">
        <v>40</v>
      </c>
      <c r="C468" s="19" t="s">
        <v>1785</v>
      </c>
      <c r="D468" s="19" t="s">
        <v>1807</v>
      </c>
      <c r="E468" s="19" t="s">
        <v>1916</v>
      </c>
      <c r="F468" s="20"/>
      <c r="G468" s="21" t="s">
        <v>1917</v>
      </c>
      <c r="H468" s="18" t="s">
        <v>1918</v>
      </c>
      <c r="I468" s="19" t="s">
        <v>89</v>
      </c>
      <c r="J468" s="210"/>
      <c r="K468" s="250"/>
      <c r="L468" s="251"/>
      <c r="M468" s="252"/>
      <c r="N468" s="253"/>
      <c r="O468" s="252"/>
      <c r="P468" s="254"/>
      <c r="Q468" s="418"/>
      <c r="R468" s="419"/>
      <c r="S468" s="420"/>
      <c r="T468" s="421"/>
      <c r="U468" s="420"/>
      <c r="V468" s="422"/>
      <c r="W468" s="597"/>
      <c r="X468" s="598"/>
      <c r="Y468" s="599"/>
      <c r="Z468" s="600"/>
      <c r="AA468" s="599"/>
      <c r="AB468" s="601"/>
      <c r="AC468" s="781"/>
      <c r="AD468" s="782"/>
      <c r="AE468" s="783"/>
      <c r="AF468" s="784"/>
      <c r="AG468" s="783"/>
      <c r="AH468" s="957"/>
      <c r="AI468" s="913"/>
    </row>
    <row r="469" spans="1:35" ht="26.25" x14ac:dyDescent="0.25">
      <c r="A469" s="18" t="s">
        <v>1919</v>
      </c>
      <c r="B469" s="19" t="s">
        <v>40</v>
      </c>
      <c r="C469" s="19" t="s">
        <v>1785</v>
      </c>
      <c r="D469" s="19" t="s">
        <v>1807</v>
      </c>
      <c r="E469" s="19" t="s">
        <v>1920</v>
      </c>
      <c r="F469" s="20"/>
      <c r="G469" s="21" t="s">
        <v>1920</v>
      </c>
      <c r="H469" s="18" t="s">
        <v>61</v>
      </c>
      <c r="I469" s="19" t="s">
        <v>61</v>
      </c>
      <c r="J469" s="210"/>
      <c r="K469" s="250"/>
      <c r="L469" s="251"/>
      <c r="M469" s="252"/>
      <c r="N469" s="253"/>
      <c r="O469" s="252"/>
      <c r="P469" s="254"/>
      <c r="Q469" s="418"/>
      <c r="R469" s="419"/>
      <c r="S469" s="420"/>
      <c r="T469" s="421"/>
      <c r="U469" s="420"/>
      <c r="V469" s="422"/>
      <c r="W469" s="597"/>
      <c r="X469" s="598"/>
      <c r="Y469" s="599"/>
      <c r="Z469" s="600"/>
      <c r="AA469" s="599"/>
      <c r="AB469" s="601"/>
      <c r="AC469" s="781"/>
      <c r="AD469" s="782"/>
      <c r="AE469" s="783"/>
      <c r="AF469" s="784"/>
      <c r="AG469" s="783"/>
      <c r="AH469" s="957"/>
      <c r="AI469" s="913"/>
    </row>
    <row r="470" spans="1:35" ht="26.25" x14ac:dyDescent="0.25">
      <c r="A470" s="18" t="s">
        <v>1921</v>
      </c>
      <c r="B470" s="19" t="s">
        <v>40</v>
      </c>
      <c r="C470" s="19" t="s">
        <v>1785</v>
      </c>
      <c r="D470" s="19" t="s">
        <v>1807</v>
      </c>
      <c r="E470" s="19" t="s">
        <v>1922</v>
      </c>
      <c r="F470" s="20"/>
      <c r="G470" s="21" t="s">
        <v>1923</v>
      </c>
      <c r="H470" s="18" t="s">
        <v>331</v>
      </c>
      <c r="I470" s="19" t="s">
        <v>432</v>
      </c>
      <c r="J470" s="210"/>
      <c r="K470" s="250"/>
      <c r="L470" s="251"/>
      <c r="M470" s="252"/>
      <c r="N470" s="253"/>
      <c r="O470" s="252"/>
      <c r="P470" s="254"/>
      <c r="Q470" s="418"/>
      <c r="R470" s="419"/>
      <c r="S470" s="420"/>
      <c r="T470" s="421"/>
      <c r="U470" s="420"/>
      <c r="V470" s="422"/>
      <c r="W470" s="597"/>
      <c r="X470" s="598"/>
      <c r="Y470" s="599"/>
      <c r="Z470" s="600"/>
      <c r="AA470" s="599"/>
      <c r="AB470" s="601"/>
      <c r="AC470" s="781"/>
      <c r="AD470" s="782"/>
      <c r="AE470" s="783"/>
      <c r="AF470" s="784"/>
      <c r="AG470" s="783"/>
      <c r="AH470" s="957"/>
      <c r="AI470" s="913"/>
    </row>
    <row r="471" spans="1:35" ht="26.25" x14ac:dyDescent="0.25">
      <c r="A471" s="18" t="s">
        <v>1924</v>
      </c>
      <c r="B471" s="19" t="s">
        <v>40</v>
      </c>
      <c r="C471" s="19" t="s">
        <v>1785</v>
      </c>
      <c r="D471" s="19" t="s">
        <v>1807</v>
      </c>
      <c r="E471" s="19" t="s">
        <v>1925</v>
      </c>
      <c r="F471" s="20"/>
      <c r="G471" s="21" t="s">
        <v>1926</v>
      </c>
      <c r="H471" s="18" t="s">
        <v>1927</v>
      </c>
      <c r="I471" s="19" t="s">
        <v>89</v>
      </c>
      <c r="J471" s="210"/>
      <c r="K471" s="250"/>
      <c r="L471" s="251"/>
      <c r="M471" s="252"/>
      <c r="N471" s="253"/>
      <c r="O471" s="252"/>
      <c r="P471" s="254"/>
      <c r="Q471" s="418"/>
      <c r="R471" s="419"/>
      <c r="S471" s="420"/>
      <c r="T471" s="421"/>
      <c r="U471" s="420"/>
      <c r="V471" s="422"/>
      <c r="W471" s="597"/>
      <c r="X471" s="598"/>
      <c r="Y471" s="599"/>
      <c r="Z471" s="600"/>
      <c r="AA471" s="599"/>
      <c r="AB471" s="601"/>
      <c r="AC471" s="781"/>
      <c r="AD471" s="782"/>
      <c r="AE471" s="783"/>
      <c r="AF471" s="784"/>
      <c r="AG471" s="783"/>
      <c r="AH471" s="957"/>
      <c r="AI471" s="913"/>
    </row>
    <row r="472" spans="1:35" ht="26.25" x14ac:dyDescent="0.25">
      <c r="A472" s="18" t="s">
        <v>1928</v>
      </c>
      <c r="B472" s="19" t="s">
        <v>40</v>
      </c>
      <c r="C472" s="19" t="s">
        <v>1785</v>
      </c>
      <c r="D472" s="19" t="s">
        <v>1807</v>
      </c>
      <c r="E472" s="19" t="s">
        <v>1929</v>
      </c>
      <c r="F472" s="20"/>
      <c r="G472" s="21" t="s">
        <v>1930</v>
      </c>
      <c r="H472" s="18" t="s">
        <v>1927</v>
      </c>
      <c r="I472" s="19" t="s">
        <v>89</v>
      </c>
      <c r="J472" s="210"/>
      <c r="K472" s="250"/>
      <c r="L472" s="251"/>
      <c r="M472" s="252"/>
      <c r="N472" s="253"/>
      <c r="O472" s="252"/>
      <c r="P472" s="254"/>
      <c r="Q472" s="418"/>
      <c r="R472" s="419"/>
      <c r="S472" s="420"/>
      <c r="T472" s="421"/>
      <c r="U472" s="420"/>
      <c r="V472" s="422"/>
      <c r="W472" s="597"/>
      <c r="X472" s="598"/>
      <c r="Y472" s="599"/>
      <c r="Z472" s="600"/>
      <c r="AA472" s="599"/>
      <c r="AB472" s="601"/>
      <c r="AC472" s="781"/>
      <c r="AD472" s="782"/>
      <c r="AE472" s="783"/>
      <c r="AF472" s="784"/>
      <c r="AG472" s="783"/>
      <c r="AH472" s="957"/>
      <c r="AI472" s="913"/>
    </row>
    <row r="473" spans="1:35" ht="26.25" x14ac:dyDescent="0.25">
      <c r="A473" s="18" t="s">
        <v>1931</v>
      </c>
      <c r="B473" s="19" t="s">
        <v>40</v>
      </c>
      <c r="C473" s="19" t="s">
        <v>1785</v>
      </c>
      <c r="D473" s="19" t="s">
        <v>1807</v>
      </c>
      <c r="E473" s="19" t="s">
        <v>1511</v>
      </c>
      <c r="F473" s="20"/>
      <c r="G473" s="21" t="s">
        <v>1932</v>
      </c>
      <c r="H473" s="18" t="s">
        <v>1853</v>
      </c>
      <c r="I473" s="19" t="s">
        <v>89</v>
      </c>
      <c r="J473" s="210"/>
      <c r="K473" s="250"/>
      <c r="L473" s="251"/>
      <c r="M473" s="252"/>
      <c r="N473" s="253"/>
      <c r="O473" s="252"/>
      <c r="P473" s="254"/>
      <c r="Q473" s="418"/>
      <c r="R473" s="419"/>
      <c r="S473" s="420"/>
      <c r="T473" s="421"/>
      <c r="U473" s="420"/>
      <c r="V473" s="422"/>
      <c r="W473" s="597"/>
      <c r="X473" s="598"/>
      <c r="Y473" s="599"/>
      <c r="Z473" s="600"/>
      <c r="AA473" s="599"/>
      <c r="AB473" s="601"/>
      <c r="AC473" s="781"/>
      <c r="AD473" s="782"/>
      <c r="AE473" s="783"/>
      <c r="AF473" s="784"/>
      <c r="AG473" s="783"/>
      <c r="AH473" s="957"/>
      <c r="AI473" s="913"/>
    </row>
    <row r="474" spans="1:35" ht="26.25" x14ac:dyDescent="0.25">
      <c r="A474" s="18" t="s">
        <v>1933</v>
      </c>
      <c r="B474" s="19" t="s">
        <v>40</v>
      </c>
      <c r="C474" s="19" t="s">
        <v>1785</v>
      </c>
      <c r="D474" s="19" t="s">
        <v>1807</v>
      </c>
      <c r="E474" s="19" t="s">
        <v>1934</v>
      </c>
      <c r="F474" s="20"/>
      <c r="G474" s="21" t="s">
        <v>1935</v>
      </c>
      <c r="H474" s="18" t="s">
        <v>1901</v>
      </c>
      <c r="I474" s="19" t="s">
        <v>89</v>
      </c>
      <c r="J474" s="210"/>
      <c r="K474" s="250"/>
      <c r="L474" s="251"/>
      <c r="M474" s="252"/>
      <c r="N474" s="253"/>
      <c r="O474" s="252"/>
      <c r="P474" s="254"/>
      <c r="Q474" s="418"/>
      <c r="R474" s="419"/>
      <c r="S474" s="420"/>
      <c r="T474" s="421"/>
      <c r="U474" s="420"/>
      <c r="V474" s="422"/>
      <c r="W474" s="597"/>
      <c r="X474" s="598"/>
      <c r="Y474" s="599"/>
      <c r="Z474" s="600"/>
      <c r="AA474" s="599"/>
      <c r="AB474" s="601"/>
      <c r="AC474" s="781"/>
      <c r="AD474" s="782"/>
      <c r="AE474" s="783"/>
      <c r="AF474" s="784"/>
      <c r="AG474" s="783"/>
      <c r="AH474" s="957"/>
      <c r="AI474" s="913"/>
    </row>
    <row r="475" spans="1:35" ht="39" x14ac:dyDescent="0.25">
      <c r="A475" s="18" t="s">
        <v>1936</v>
      </c>
      <c r="B475" s="19" t="s">
        <v>40</v>
      </c>
      <c r="C475" s="19" t="s">
        <v>1785</v>
      </c>
      <c r="D475" s="19" t="s">
        <v>1807</v>
      </c>
      <c r="E475" s="19" t="s">
        <v>1763</v>
      </c>
      <c r="F475" s="20"/>
      <c r="G475" s="21" t="s">
        <v>1937</v>
      </c>
      <c r="H475" s="18" t="s">
        <v>61</v>
      </c>
      <c r="I475" s="19" t="s">
        <v>1938</v>
      </c>
      <c r="J475" s="210"/>
      <c r="K475" s="250"/>
      <c r="L475" s="251"/>
      <c r="M475" s="252"/>
      <c r="N475" s="253"/>
      <c r="O475" s="252"/>
      <c r="P475" s="254"/>
      <c r="Q475" s="418"/>
      <c r="R475" s="419"/>
      <c r="S475" s="420"/>
      <c r="T475" s="421"/>
      <c r="U475" s="420"/>
      <c r="V475" s="422"/>
      <c r="W475" s="597"/>
      <c r="X475" s="598"/>
      <c r="Y475" s="599"/>
      <c r="Z475" s="600"/>
      <c r="AA475" s="599"/>
      <c r="AB475" s="601"/>
      <c r="AC475" s="781"/>
      <c r="AD475" s="782"/>
      <c r="AE475" s="783"/>
      <c r="AF475" s="784"/>
      <c r="AG475" s="783"/>
      <c r="AH475" s="957"/>
      <c r="AI475" s="913"/>
    </row>
    <row r="476" spans="1:35" ht="26.25" x14ac:dyDescent="0.25">
      <c r="A476" s="18" t="s">
        <v>1939</v>
      </c>
      <c r="B476" s="19" t="s">
        <v>40</v>
      </c>
      <c r="C476" s="19" t="s">
        <v>1785</v>
      </c>
      <c r="D476" s="19" t="s">
        <v>1807</v>
      </c>
      <c r="E476" s="19" t="s">
        <v>1515</v>
      </c>
      <c r="F476" s="20"/>
      <c r="G476" s="21" t="s">
        <v>1940</v>
      </c>
      <c r="H476" s="18" t="s">
        <v>1901</v>
      </c>
      <c r="I476" s="19" t="s">
        <v>83</v>
      </c>
      <c r="J476" s="210"/>
      <c r="K476" s="250"/>
      <c r="L476" s="251"/>
      <c r="M476" s="252"/>
      <c r="N476" s="253"/>
      <c r="O476" s="252"/>
      <c r="P476" s="254"/>
      <c r="Q476" s="418"/>
      <c r="R476" s="419"/>
      <c r="S476" s="420"/>
      <c r="T476" s="421"/>
      <c r="U476" s="420"/>
      <c r="V476" s="422"/>
      <c r="W476" s="597"/>
      <c r="X476" s="598"/>
      <c r="Y476" s="599"/>
      <c r="Z476" s="600"/>
      <c r="AA476" s="599"/>
      <c r="AB476" s="601"/>
      <c r="AC476" s="781"/>
      <c r="AD476" s="782"/>
      <c r="AE476" s="783"/>
      <c r="AF476" s="784"/>
      <c r="AG476" s="783"/>
      <c r="AH476" s="957"/>
      <c r="AI476" s="913"/>
    </row>
    <row r="477" spans="1:35" ht="26.25" x14ac:dyDescent="0.25">
      <c r="A477" s="18" t="s">
        <v>1941</v>
      </c>
      <c r="B477" s="19" t="s">
        <v>40</v>
      </c>
      <c r="C477" s="19" t="s">
        <v>1785</v>
      </c>
      <c r="D477" s="19" t="s">
        <v>1807</v>
      </c>
      <c r="E477" s="19" t="s">
        <v>1942</v>
      </c>
      <c r="F477" s="20"/>
      <c r="G477" s="21" t="s">
        <v>1943</v>
      </c>
      <c r="H477" s="18" t="s">
        <v>1918</v>
      </c>
      <c r="I477" s="19" t="s">
        <v>213</v>
      </c>
      <c r="J477" s="210"/>
      <c r="K477" s="250"/>
      <c r="L477" s="251"/>
      <c r="M477" s="252"/>
      <c r="N477" s="253"/>
      <c r="O477" s="252"/>
      <c r="P477" s="254"/>
      <c r="Q477" s="418"/>
      <c r="R477" s="419"/>
      <c r="S477" s="420"/>
      <c r="T477" s="421"/>
      <c r="U477" s="420"/>
      <c r="V477" s="422"/>
      <c r="W477" s="597"/>
      <c r="X477" s="598"/>
      <c r="Y477" s="599"/>
      <c r="Z477" s="600"/>
      <c r="AA477" s="599"/>
      <c r="AB477" s="601"/>
      <c r="AC477" s="781"/>
      <c r="AD477" s="782"/>
      <c r="AE477" s="783"/>
      <c r="AF477" s="784"/>
      <c r="AG477" s="783"/>
      <c r="AH477" s="957"/>
      <c r="AI477" s="913"/>
    </row>
    <row r="478" spans="1:35" ht="39" x14ac:dyDescent="0.25">
      <c r="A478" s="18" t="s">
        <v>1944</v>
      </c>
      <c r="B478" s="19" t="s">
        <v>40</v>
      </c>
      <c r="C478" s="19" t="s">
        <v>1785</v>
      </c>
      <c r="D478" s="19" t="s">
        <v>1807</v>
      </c>
      <c r="E478" s="19" t="s">
        <v>1945</v>
      </c>
      <c r="F478" s="20"/>
      <c r="G478" s="21" t="s">
        <v>1946</v>
      </c>
      <c r="H478" s="18" t="s">
        <v>331</v>
      </c>
      <c r="I478" s="19" t="s">
        <v>109</v>
      </c>
      <c r="J478" s="210"/>
      <c r="K478" s="250"/>
      <c r="L478" s="251"/>
      <c r="M478" s="252"/>
      <c r="N478" s="253"/>
      <c r="O478" s="252"/>
      <c r="P478" s="254"/>
      <c r="Q478" s="418"/>
      <c r="R478" s="419"/>
      <c r="S478" s="420"/>
      <c r="T478" s="421"/>
      <c r="U478" s="420"/>
      <c r="V478" s="422"/>
      <c r="W478" s="597"/>
      <c r="X478" s="598"/>
      <c r="Y478" s="599"/>
      <c r="Z478" s="600"/>
      <c r="AA478" s="599"/>
      <c r="AB478" s="601"/>
      <c r="AC478" s="781"/>
      <c r="AD478" s="782"/>
      <c r="AE478" s="783"/>
      <c r="AF478" s="784"/>
      <c r="AG478" s="783"/>
      <c r="AH478" s="957"/>
      <c r="AI478" s="913"/>
    </row>
    <row r="479" spans="1:35" ht="26.25" x14ac:dyDescent="0.25">
      <c r="A479" s="18" t="s">
        <v>1947</v>
      </c>
      <c r="B479" s="19" t="s">
        <v>40</v>
      </c>
      <c r="C479" s="19" t="s">
        <v>1785</v>
      </c>
      <c r="D479" s="19" t="s">
        <v>1807</v>
      </c>
      <c r="E479" s="19" t="s">
        <v>1948</v>
      </c>
      <c r="F479" s="20"/>
      <c r="G479" s="21" t="s">
        <v>1949</v>
      </c>
      <c r="H479" s="18" t="s">
        <v>1918</v>
      </c>
      <c r="I479" s="19" t="s">
        <v>160</v>
      </c>
      <c r="J479" s="210"/>
      <c r="K479" s="250"/>
      <c r="L479" s="251"/>
      <c r="M479" s="252"/>
      <c r="N479" s="253"/>
      <c r="O479" s="252"/>
      <c r="P479" s="254"/>
      <c r="Q479" s="418"/>
      <c r="R479" s="419"/>
      <c r="S479" s="420"/>
      <c r="T479" s="421"/>
      <c r="U479" s="420"/>
      <c r="V479" s="422"/>
      <c r="W479" s="597"/>
      <c r="X479" s="598"/>
      <c r="Y479" s="599"/>
      <c r="Z479" s="600"/>
      <c r="AA479" s="599"/>
      <c r="AB479" s="601"/>
      <c r="AC479" s="781"/>
      <c r="AD479" s="782"/>
      <c r="AE479" s="783"/>
      <c r="AF479" s="784"/>
      <c r="AG479" s="783"/>
      <c r="AH479" s="957"/>
      <c r="AI479" s="913"/>
    </row>
    <row r="480" spans="1:35" ht="39" x14ac:dyDescent="0.25">
      <c r="A480" s="18" t="s">
        <v>1950</v>
      </c>
      <c r="B480" s="19" t="s">
        <v>40</v>
      </c>
      <c r="C480" s="19" t="s">
        <v>1785</v>
      </c>
      <c r="D480" s="19" t="s">
        <v>1807</v>
      </c>
      <c r="E480" s="19" t="s">
        <v>1951</v>
      </c>
      <c r="F480" s="20"/>
      <c r="G480" s="21" t="s">
        <v>1952</v>
      </c>
      <c r="H480" s="18" t="s">
        <v>1953</v>
      </c>
      <c r="I480" s="19" t="s">
        <v>109</v>
      </c>
      <c r="J480" s="210"/>
      <c r="K480" s="250"/>
      <c r="L480" s="251"/>
      <c r="M480" s="252"/>
      <c r="N480" s="253"/>
      <c r="O480" s="252"/>
      <c r="P480" s="254"/>
      <c r="Q480" s="418"/>
      <c r="R480" s="419"/>
      <c r="S480" s="420"/>
      <c r="T480" s="421"/>
      <c r="U480" s="420"/>
      <c r="V480" s="422"/>
      <c r="W480" s="597"/>
      <c r="X480" s="598"/>
      <c r="Y480" s="599"/>
      <c r="Z480" s="600"/>
      <c r="AA480" s="599"/>
      <c r="AB480" s="601"/>
      <c r="AC480" s="781"/>
      <c r="AD480" s="782"/>
      <c r="AE480" s="783"/>
      <c r="AF480" s="784"/>
      <c r="AG480" s="783"/>
      <c r="AH480" s="957"/>
      <c r="AI480" s="913"/>
    </row>
    <row r="481" spans="1:35" ht="26.25" x14ac:dyDescent="0.25">
      <c r="A481" s="18" t="s">
        <v>1954</v>
      </c>
      <c r="B481" s="19" t="s">
        <v>40</v>
      </c>
      <c r="C481" s="19" t="s">
        <v>1785</v>
      </c>
      <c r="D481" s="19" t="s">
        <v>1807</v>
      </c>
      <c r="E481" s="19" t="s">
        <v>814</v>
      </c>
      <c r="F481" s="20"/>
      <c r="G481" s="21" t="s">
        <v>1955</v>
      </c>
      <c r="H481" s="18" t="s">
        <v>1956</v>
      </c>
      <c r="I481" s="19" t="s">
        <v>1957</v>
      </c>
      <c r="J481" s="210"/>
      <c r="K481" s="250"/>
      <c r="L481" s="251"/>
      <c r="M481" s="252"/>
      <c r="N481" s="253"/>
      <c r="O481" s="252"/>
      <c r="P481" s="254"/>
      <c r="Q481" s="418"/>
      <c r="R481" s="419"/>
      <c r="S481" s="420"/>
      <c r="T481" s="421"/>
      <c r="U481" s="420"/>
      <c r="V481" s="422"/>
      <c r="W481" s="597"/>
      <c r="X481" s="598"/>
      <c r="Y481" s="599"/>
      <c r="Z481" s="600"/>
      <c r="AA481" s="599"/>
      <c r="AB481" s="601"/>
      <c r="AC481" s="781"/>
      <c r="AD481" s="782"/>
      <c r="AE481" s="783"/>
      <c r="AF481" s="784"/>
      <c r="AG481" s="783"/>
      <c r="AH481" s="957"/>
      <c r="AI481" s="913"/>
    </row>
    <row r="482" spans="1:35" ht="26.25" x14ac:dyDescent="0.25">
      <c r="A482" s="18" t="s">
        <v>1958</v>
      </c>
      <c r="B482" s="19" t="s">
        <v>40</v>
      </c>
      <c r="C482" s="19" t="s">
        <v>1785</v>
      </c>
      <c r="D482" s="19" t="s">
        <v>1807</v>
      </c>
      <c r="E482" s="19" t="s">
        <v>1959</v>
      </c>
      <c r="F482" s="20"/>
      <c r="G482" s="21" t="s">
        <v>1960</v>
      </c>
      <c r="H482" s="18" t="s">
        <v>1884</v>
      </c>
      <c r="I482" s="19" t="s">
        <v>1961</v>
      </c>
      <c r="J482" s="210"/>
      <c r="K482" s="250"/>
      <c r="L482" s="251"/>
      <c r="M482" s="252"/>
      <c r="N482" s="253"/>
      <c r="O482" s="252"/>
      <c r="P482" s="254"/>
      <c r="Q482" s="418"/>
      <c r="R482" s="419"/>
      <c r="S482" s="420"/>
      <c r="T482" s="421"/>
      <c r="U482" s="420"/>
      <c r="V482" s="422"/>
      <c r="W482" s="597"/>
      <c r="X482" s="598"/>
      <c r="Y482" s="599"/>
      <c r="Z482" s="600"/>
      <c r="AA482" s="599"/>
      <c r="AB482" s="601"/>
      <c r="AC482" s="781"/>
      <c r="AD482" s="782"/>
      <c r="AE482" s="783"/>
      <c r="AF482" s="784"/>
      <c r="AG482" s="783"/>
      <c r="AH482" s="957"/>
      <c r="AI482" s="913"/>
    </row>
    <row r="483" spans="1:35" ht="39" x14ac:dyDescent="0.25">
      <c r="A483" s="18" t="s">
        <v>1962</v>
      </c>
      <c r="B483" s="19" t="s">
        <v>40</v>
      </c>
      <c r="C483" s="19" t="s">
        <v>1785</v>
      </c>
      <c r="D483" s="19" t="s">
        <v>1807</v>
      </c>
      <c r="E483" s="19" t="s">
        <v>967</v>
      </c>
      <c r="F483" s="20"/>
      <c r="G483" s="21" t="s">
        <v>1963</v>
      </c>
      <c r="H483" s="18" t="s">
        <v>331</v>
      </c>
      <c r="I483" s="19" t="s">
        <v>109</v>
      </c>
      <c r="J483" s="210"/>
      <c r="K483" s="250"/>
      <c r="L483" s="251"/>
      <c r="M483" s="252"/>
      <c r="N483" s="253"/>
      <c r="O483" s="252"/>
      <c r="P483" s="254"/>
      <c r="Q483" s="418"/>
      <c r="R483" s="419"/>
      <c r="S483" s="420"/>
      <c r="T483" s="421"/>
      <c r="U483" s="420"/>
      <c r="V483" s="422"/>
      <c r="W483" s="597"/>
      <c r="X483" s="598"/>
      <c r="Y483" s="599"/>
      <c r="Z483" s="600"/>
      <c r="AA483" s="599"/>
      <c r="AB483" s="601"/>
      <c r="AC483" s="781"/>
      <c r="AD483" s="782"/>
      <c r="AE483" s="783"/>
      <c r="AF483" s="784"/>
      <c r="AG483" s="783"/>
      <c r="AH483" s="957"/>
      <c r="AI483" s="913"/>
    </row>
    <row r="484" spans="1:35" ht="26.25" x14ac:dyDescent="0.25">
      <c r="A484" s="18" t="s">
        <v>1964</v>
      </c>
      <c r="B484" s="19" t="s">
        <v>40</v>
      </c>
      <c r="C484" s="19" t="s">
        <v>1785</v>
      </c>
      <c r="D484" s="19" t="s">
        <v>1807</v>
      </c>
      <c r="E484" s="19" t="s">
        <v>1965</v>
      </c>
      <c r="F484" s="20"/>
      <c r="G484" s="21" t="s">
        <v>1966</v>
      </c>
      <c r="H484" s="18" t="s">
        <v>331</v>
      </c>
      <c r="I484" s="19" t="s">
        <v>432</v>
      </c>
      <c r="J484" s="210"/>
      <c r="K484" s="250"/>
      <c r="L484" s="251"/>
      <c r="M484" s="252"/>
      <c r="N484" s="253"/>
      <c r="O484" s="252"/>
      <c r="P484" s="254"/>
      <c r="Q484" s="418"/>
      <c r="R484" s="419"/>
      <c r="S484" s="420"/>
      <c r="T484" s="421"/>
      <c r="U484" s="420"/>
      <c r="V484" s="422"/>
      <c r="W484" s="597"/>
      <c r="X484" s="598"/>
      <c r="Y484" s="599"/>
      <c r="Z484" s="600"/>
      <c r="AA484" s="599"/>
      <c r="AB484" s="601"/>
      <c r="AC484" s="781"/>
      <c r="AD484" s="782"/>
      <c r="AE484" s="783"/>
      <c r="AF484" s="784"/>
      <c r="AG484" s="783"/>
      <c r="AH484" s="957"/>
      <c r="AI484" s="913"/>
    </row>
    <row r="485" spans="1:35" ht="39" x14ac:dyDescent="0.25">
      <c r="A485" s="18" t="s">
        <v>1967</v>
      </c>
      <c r="B485" s="19" t="s">
        <v>40</v>
      </c>
      <c r="C485" s="19" t="s">
        <v>1785</v>
      </c>
      <c r="D485" s="19" t="s">
        <v>1807</v>
      </c>
      <c r="E485" s="19" t="s">
        <v>1968</v>
      </c>
      <c r="F485" s="20"/>
      <c r="G485" s="21" t="s">
        <v>1969</v>
      </c>
      <c r="H485" s="18" t="s">
        <v>1877</v>
      </c>
      <c r="I485" s="19" t="s">
        <v>89</v>
      </c>
      <c r="J485" s="210"/>
      <c r="K485" s="250"/>
      <c r="L485" s="251"/>
      <c r="M485" s="252"/>
      <c r="N485" s="253"/>
      <c r="O485" s="252"/>
      <c r="P485" s="254"/>
      <c r="Q485" s="418"/>
      <c r="R485" s="419"/>
      <c r="S485" s="420"/>
      <c r="T485" s="421"/>
      <c r="U485" s="420"/>
      <c r="V485" s="422"/>
      <c r="W485" s="597"/>
      <c r="X485" s="598"/>
      <c r="Y485" s="599"/>
      <c r="Z485" s="600"/>
      <c r="AA485" s="599"/>
      <c r="AB485" s="601"/>
      <c r="AC485" s="781"/>
      <c r="AD485" s="782"/>
      <c r="AE485" s="783"/>
      <c r="AF485" s="784"/>
      <c r="AG485" s="783"/>
      <c r="AH485" s="957"/>
      <c r="AI485" s="913"/>
    </row>
    <row r="486" spans="1:35" ht="39" x14ac:dyDescent="0.25">
      <c r="A486" s="18" t="s">
        <v>1970</v>
      </c>
      <c r="B486" s="19" t="s">
        <v>40</v>
      </c>
      <c r="C486" s="19" t="s">
        <v>1785</v>
      </c>
      <c r="D486" s="19" t="s">
        <v>1807</v>
      </c>
      <c r="E486" s="19" t="s">
        <v>1971</v>
      </c>
      <c r="F486" s="20"/>
      <c r="G486" s="21" t="s">
        <v>1972</v>
      </c>
      <c r="H486" s="18" t="s">
        <v>373</v>
      </c>
      <c r="I486" s="19" t="s">
        <v>1973</v>
      </c>
      <c r="J486" s="210"/>
      <c r="K486" s="250"/>
      <c r="L486" s="251"/>
      <c r="M486" s="252"/>
      <c r="N486" s="253"/>
      <c r="O486" s="252"/>
      <c r="P486" s="254"/>
      <c r="Q486" s="418"/>
      <c r="R486" s="419"/>
      <c r="S486" s="420"/>
      <c r="T486" s="421"/>
      <c r="U486" s="420"/>
      <c r="V486" s="422"/>
      <c r="W486" s="597"/>
      <c r="X486" s="598"/>
      <c r="Y486" s="599"/>
      <c r="Z486" s="600"/>
      <c r="AA486" s="599"/>
      <c r="AB486" s="601"/>
      <c r="AC486" s="781"/>
      <c r="AD486" s="782"/>
      <c r="AE486" s="783"/>
      <c r="AF486" s="784"/>
      <c r="AG486" s="783"/>
      <c r="AH486" s="957"/>
      <c r="AI486" s="913"/>
    </row>
    <row r="487" spans="1:35" ht="39" x14ac:dyDescent="0.25">
      <c r="A487" s="18" t="s">
        <v>1974</v>
      </c>
      <c r="B487" s="19" t="s">
        <v>40</v>
      </c>
      <c r="C487" s="19" t="s">
        <v>1785</v>
      </c>
      <c r="D487" s="19" t="s">
        <v>1807</v>
      </c>
      <c r="E487" s="19" t="s">
        <v>1975</v>
      </c>
      <c r="F487" s="20"/>
      <c r="G487" s="21" t="s">
        <v>1975</v>
      </c>
      <c r="H487" s="18" t="s">
        <v>1918</v>
      </c>
      <c r="I487" s="19" t="s">
        <v>109</v>
      </c>
      <c r="J487" s="210"/>
      <c r="K487" s="250"/>
      <c r="L487" s="251"/>
      <c r="M487" s="252"/>
      <c r="N487" s="253"/>
      <c r="O487" s="252"/>
      <c r="P487" s="254"/>
      <c r="Q487" s="418"/>
      <c r="R487" s="419"/>
      <c r="S487" s="420"/>
      <c r="T487" s="421"/>
      <c r="U487" s="420"/>
      <c r="V487" s="422"/>
      <c r="W487" s="597"/>
      <c r="X487" s="598"/>
      <c r="Y487" s="599"/>
      <c r="Z487" s="600"/>
      <c r="AA487" s="599"/>
      <c r="AB487" s="601"/>
      <c r="AC487" s="781"/>
      <c r="AD487" s="782"/>
      <c r="AE487" s="783"/>
      <c r="AF487" s="784"/>
      <c r="AG487" s="783"/>
      <c r="AH487" s="957"/>
      <c r="AI487" s="913" t="s">
        <v>1976</v>
      </c>
    </row>
    <row r="488" spans="1:35" ht="26.25" x14ac:dyDescent="0.25">
      <c r="A488" s="18" t="s">
        <v>1977</v>
      </c>
      <c r="B488" s="19" t="s">
        <v>40</v>
      </c>
      <c r="C488" s="19" t="s">
        <v>1785</v>
      </c>
      <c r="D488" s="19" t="s">
        <v>1807</v>
      </c>
      <c r="E488" s="19" t="s">
        <v>1433</v>
      </c>
      <c r="F488" s="20"/>
      <c r="G488" s="21" t="s">
        <v>1978</v>
      </c>
      <c r="H488" s="18" t="s">
        <v>1979</v>
      </c>
      <c r="I488" s="19" t="s">
        <v>432</v>
      </c>
      <c r="J488" s="210"/>
      <c r="K488" s="250"/>
      <c r="L488" s="251"/>
      <c r="M488" s="252"/>
      <c r="N488" s="253"/>
      <c r="O488" s="252"/>
      <c r="P488" s="254"/>
      <c r="Q488" s="418"/>
      <c r="R488" s="419"/>
      <c r="S488" s="420"/>
      <c r="T488" s="421"/>
      <c r="U488" s="420"/>
      <c r="V488" s="422"/>
      <c r="W488" s="597"/>
      <c r="X488" s="598"/>
      <c r="Y488" s="599"/>
      <c r="Z488" s="600"/>
      <c r="AA488" s="599"/>
      <c r="AB488" s="601"/>
      <c r="AC488" s="781"/>
      <c r="AD488" s="782"/>
      <c r="AE488" s="783"/>
      <c r="AF488" s="784"/>
      <c r="AG488" s="783"/>
      <c r="AH488" s="957"/>
      <c r="AI488" s="913"/>
    </row>
    <row r="489" spans="1:35" ht="39" x14ac:dyDescent="0.25">
      <c r="A489" s="18" t="s">
        <v>1980</v>
      </c>
      <c r="B489" s="19" t="s">
        <v>40</v>
      </c>
      <c r="C489" s="19" t="s">
        <v>1785</v>
      </c>
      <c r="D489" s="19" t="s">
        <v>1807</v>
      </c>
      <c r="E489" s="19" t="s">
        <v>1981</v>
      </c>
      <c r="F489" s="20"/>
      <c r="G489" s="21" t="s">
        <v>1982</v>
      </c>
      <c r="H489" s="18" t="s">
        <v>1983</v>
      </c>
      <c r="I489" s="19" t="s">
        <v>109</v>
      </c>
      <c r="J489" s="210"/>
      <c r="K489" s="250"/>
      <c r="L489" s="251"/>
      <c r="M489" s="252"/>
      <c r="N489" s="253"/>
      <c r="O489" s="252"/>
      <c r="P489" s="254"/>
      <c r="Q489" s="418"/>
      <c r="R489" s="419"/>
      <c r="S489" s="420"/>
      <c r="T489" s="421"/>
      <c r="U489" s="420"/>
      <c r="V489" s="422"/>
      <c r="W489" s="597"/>
      <c r="X489" s="598"/>
      <c r="Y489" s="599"/>
      <c r="Z489" s="600"/>
      <c r="AA489" s="599"/>
      <c r="AB489" s="601"/>
      <c r="AC489" s="781"/>
      <c r="AD489" s="782"/>
      <c r="AE489" s="783"/>
      <c r="AF489" s="784"/>
      <c r="AG489" s="783"/>
      <c r="AH489" s="957"/>
      <c r="AI489" s="913"/>
    </row>
    <row r="490" spans="1:35" ht="26.25" x14ac:dyDescent="0.25">
      <c r="A490" s="18" t="s">
        <v>1984</v>
      </c>
      <c r="B490" s="19" t="s">
        <v>40</v>
      </c>
      <c r="C490" s="19" t="s">
        <v>1785</v>
      </c>
      <c r="D490" s="19" t="s">
        <v>1807</v>
      </c>
      <c r="E490" s="19" t="s">
        <v>1321</v>
      </c>
      <c r="F490" s="20"/>
      <c r="G490" s="21" t="s">
        <v>1985</v>
      </c>
      <c r="H490" s="18" t="s">
        <v>1986</v>
      </c>
      <c r="I490" s="19" t="s">
        <v>1987</v>
      </c>
      <c r="J490" s="210"/>
      <c r="K490" s="250"/>
      <c r="L490" s="251"/>
      <c r="M490" s="252"/>
      <c r="N490" s="253"/>
      <c r="O490" s="252"/>
      <c r="P490" s="254"/>
      <c r="Q490" s="418"/>
      <c r="R490" s="419"/>
      <c r="S490" s="420"/>
      <c r="T490" s="421"/>
      <c r="U490" s="420"/>
      <c r="V490" s="422"/>
      <c r="W490" s="597"/>
      <c r="X490" s="598"/>
      <c r="Y490" s="599"/>
      <c r="Z490" s="600"/>
      <c r="AA490" s="599"/>
      <c r="AB490" s="601"/>
      <c r="AC490" s="781"/>
      <c r="AD490" s="782"/>
      <c r="AE490" s="783"/>
      <c r="AF490" s="784"/>
      <c r="AG490" s="783"/>
      <c r="AH490" s="957"/>
      <c r="AI490" s="913"/>
    </row>
    <row r="491" spans="1:35" ht="26.25" x14ac:dyDescent="0.25">
      <c r="A491" s="18" t="s">
        <v>1988</v>
      </c>
      <c r="B491" s="19" t="s">
        <v>40</v>
      </c>
      <c r="C491" s="19" t="s">
        <v>1785</v>
      </c>
      <c r="D491" s="19" t="s">
        <v>1807</v>
      </c>
      <c r="E491" s="19" t="s">
        <v>1244</v>
      </c>
      <c r="F491" s="20"/>
      <c r="G491" s="21" t="s">
        <v>1989</v>
      </c>
      <c r="H491" s="18" t="s">
        <v>1865</v>
      </c>
      <c r="I491" s="19" t="s">
        <v>1990</v>
      </c>
      <c r="J491" s="210"/>
      <c r="K491" s="250"/>
      <c r="L491" s="251"/>
      <c r="M491" s="252"/>
      <c r="N491" s="253"/>
      <c r="O491" s="252"/>
      <c r="P491" s="254"/>
      <c r="Q491" s="418"/>
      <c r="R491" s="419"/>
      <c r="S491" s="420"/>
      <c r="T491" s="421"/>
      <c r="U491" s="420"/>
      <c r="V491" s="422"/>
      <c r="W491" s="597"/>
      <c r="X491" s="598"/>
      <c r="Y491" s="599"/>
      <c r="Z491" s="600"/>
      <c r="AA491" s="599"/>
      <c r="AB491" s="601"/>
      <c r="AC491" s="781"/>
      <c r="AD491" s="782"/>
      <c r="AE491" s="783"/>
      <c r="AF491" s="784"/>
      <c r="AG491" s="783"/>
      <c r="AH491" s="957"/>
      <c r="AI491" s="913"/>
    </row>
    <row r="492" spans="1:35" ht="39" x14ac:dyDescent="0.25">
      <c r="A492" s="18" t="s">
        <v>1991</v>
      </c>
      <c r="B492" s="19" t="s">
        <v>40</v>
      </c>
      <c r="C492" s="19" t="s">
        <v>1785</v>
      </c>
      <c r="D492" s="19" t="s">
        <v>1807</v>
      </c>
      <c r="E492" s="19" t="s">
        <v>1992</v>
      </c>
      <c r="F492" s="20"/>
      <c r="G492" s="21" t="s">
        <v>1993</v>
      </c>
      <c r="H492" s="18" t="s">
        <v>1994</v>
      </c>
      <c r="I492" s="19" t="s">
        <v>260</v>
      </c>
      <c r="J492" s="210"/>
      <c r="K492" s="250"/>
      <c r="L492" s="251"/>
      <c r="M492" s="252"/>
      <c r="N492" s="253"/>
      <c r="O492" s="252"/>
      <c r="P492" s="254"/>
      <c r="Q492" s="418"/>
      <c r="R492" s="419"/>
      <c r="S492" s="420"/>
      <c r="T492" s="421"/>
      <c r="U492" s="420"/>
      <c r="V492" s="422"/>
      <c r="W492" s="597"/>
      <c r="X492" s="598"/>
      <c r="Y492" s="599"/>
      <c r="Z492" s="600"/>
      <c r="AA492" s="599"/>
      <c r="AB492" s="601"/>
      <c r="AC492" s="781"/>
      <c r="AD492" s="782"/>
      <c r="AE492" s="783"/>
      <c r="AF492" s="784"/>
      <c r="AG492" s="783"/>
      <c r="AH492" s="957"/>
      <c r="AI492" s="913"/>
    </row>
    <row r="493" spans="1:35" ht="26.25" x14ac:dyDescent="0.25">
      <c r="A493" s="18" t="s">
        <v>1995</v>
      </c>
      <c r="B493" s="19" t="s">
        <v>40</v>
      </c>
      <c r="C493" s="19" t="s">
        <v>1785</v>
      </c>
      <c r="D493" s="19" t="s">
        <v>1807</v>
      </c>
      <c r="E493" s="19" t="s">
        <v>1996</v>
      </c>
      <c r="F493" s="20"/>
      <c r="G493" s="21" t="s">
        <v>1997</v>
      </c>
      <c r="H493" s="18" t="s">
        <v>1998</v>
      </c>
      <c r="I493" s="19" t="s">
        <v>52</v>
      </c>
      <c r="J493" s="210"/>
      <c r="K493" s="250"/>
      <c r="L493" s="251"/>
      <c r="M493" s="252"/>
      <c r="N493" s="253"/>
      <c r="O493" s="252"/>
      <c r="P493" s="254"/>
      <c r="Q493" s="418"/>
      <c r="R493" s="419"/>
      <c r="S493" s="420"/>
      <c r="T493" s="421"/>
      <c r="U493" s="420"/>
      <c r="V493" s="422"/>
      <c r="W493" s="597"/>
      <c r="X493" s="598"/>
      <c r="Y493" s="599"/>
      <c r="Z493" s="600"/>
      <c r="AA493" s="599"/>
      <c r="AB493" s="601"/>
      <c r="AC493" s="781"/>
      <c r="AD493" s="782"/>
      <c r="AE493" s="783"/>
      <c r="AF493" s="784"/>
      <c r="AG493" s="783"/>
      <c r="AH493" s="957"/>
      <c r="AI493" s="913"/>
    </row>
    <row r="494" spans="1:35" ht="30.75" thickBot="1" x14ac:dyDescent="0.3">
      <c r="A494" s="86" t="s">
        <v>1999</v>
      </c>
      <c r="B494" s="87" t="s">
        <v>40</v>
      </c>
      <c r="C494" s="87" t="s">
        <v>1785</v>
      </c>
      <c r="D494" s="87" t="s">
        <v>1807</v>
      </c>
      <c r="E494" s="87"/>
      <c r="F494" s="88" t="s">
        <v>1807</v>
      </c>
      <c r="G494" s="89" t="s">
        <v>1807</v>
      </c>
      <c r="H494" s="86" t="s">
        <v>2000</v>
      </c>
      <c r="I494" s="87" t="s">
        <v>1788</v>
      </c>
      <c r="J494" s="215"/>
      <c r="K494" s="298" t="s">
        <v>2001</v>
      </c>
      <c r="L494" s="299" t="s">
        <v>2002</v>
      </c>
      <c r="M494" s="325">
        <f>(1051917/300)-K494</f>
        <v>-13506.61</v>
      </c>
      <c r="N494" s="326">
        <f>62/300</f>
        <v>0.20666666666666667</v>
      </c>
      <c r="O494" s="325">
        <f>(1051917/200)-K494</f>
        <v>-11753.415000000001</v>
      </c>
      <c r="P494" s="327">
        <f>62/200</f>
        <v>0.31</v>
      </c>
      <c r="Q494" s="470" t="s">
        <v>2003</v>
      </c>
      <c r="R494" s="471" t="s">
        <v>2004</v>
      </c>
      <c r="S494" s="500">
        <f>(578592/300)-Q494</f>
        <v>-7665.36</v>
      </c>
      <c r="T494" s="501">
        <f>60/300</f>
        <v>0.2</v>
      </c>
      <c r="U494" s="500">
        <f>(578592/200)-Q494</f>
        <v>-6701.04</v>
      </c>
      <c r="V494" s="502">
        <f>60/200</f>
        <v>0.3</v>
      </c>
      <c r="W494" s="657" t="s">
        <v>2005</v>
      </c>
      <c r="X494" s="658" t="s">
        <v>2006</v>
      </c>
      <c r="Y494" s="684">
        <f>(189789/300)-W494</f>
        <v>-2371.37</v>
      </c>
      <c r="Z494" s="685">
        <f>63/300</f>
        <v>0.21</v>
      </c>
      <c r="AA494" s="684">
        <f>(189789/200)-W494</f>
        <v>-2055.0549999999998</v>
      </c>
      <c r="AB494" s="686">
        <f>63/200</f>
        <v>0.315</v>
      </c>
      <c r="AC494" s="824" t="s">
        <v>2007</v>
      </c>
      <c r="AD494" s="825" t="s">
        <v>2004</v>
      </c>
      <c r="AE494" s="846">
        <f>(263509/300)-AC494</f>
        <v>-3536.6366666666668</v>
      </c>
      <c r="AF494" s="847">
        <f>60/300</f>
        <v>0.2</v>
      </c>
      <c r="AG494" s="846">
        <f>(263509/200)-AC494</f>
        <v>-3097.4549999999999</v>
      </c>
      <c r="AH494" s="976">
        <f>60/200</f>
        <v>0.3</v>
      </c>
      <c r="AI494" s="926" t="s">
        <v>2008</v>
      </c>
    </row>
    <row r="495" spans="1:35" ht="64.5" x14ac:dyDescent="0.25">
      <c r="A495" s="145" t="s">
        <v>2009</v>
      </c>
      <c r="B495" s="146" t="s">
        <v>40</v>
      </c>
      <c r="C495" s="146" t="s">
        <v>2010</v>
      </c>
      <c r="D495" s="146" t="s">
        <v>2011</v>
      </c>
      <c r="E495" s="146"/>
      <c r="F495" s="147" t="s">
        <v>1291</v>
      </c>
      <c r="G495" s="148" t="s">
        <v>2011</v>
      </c>
      <c r="H495" s="145" t="s">
        <v>2012</v>
      </c>
      <c r="I495" s="146" t="s">
        <v>1803</v>
      </c>
      <c r="J495" s="209"/>
      <c r="K495" s="245"/>
      <c r="L495" s="246"/>
      <c r="M495" s="247"/>
      <c r="N495" s="248"/>
      <c r="O495" s="247"/>
      <c r="P495" s="249"/>
      <c r="Q495" s="413"/>
      <c r="R495" s="414"/>
      <c r="S495" s="415"/>
      <c r="T495" s="416"/>
      <c r="U495" s="415"/>
      <c r="V495" s="417"/>
      <c r="W495" s="592"/>
      <c r="X495" s="593"/>
      <c r="Y495" s="594"/>
      <c r="Z495" s="595"/>
      <c r="AA495" s="594"/>
      <c r="AB495" s="596"/>
      <c r="AC495" s="777"/>
      <c r="AD495" s="778"/>
      <c r="AE495" s="779"/>
      <c r="AF495" s="780"/>
      <c r="AG495" s="779"/>
      <c r="AH495" s="956"/>
      <c r="AI495" s="937" t="s">
        <v>2013</v>
      </c>
    </row>
    <row r="496" spans="1:35" ht="64.5" x14ac:dyDescent="0.25">
      <c r="A496" s="32" t="s">
        <v>2014</v>
      </c>
      <c r="B496" s="33" t="s">
        <v>40</v>
      </c>
      <c r="C496" s="33" t="s">
        <v>2010</v>
      </c>
      <c r="D496" s="33" t="s">
        <v>2015</v>
      </c>
      <c r="E496" s="33"/>
      <c r="F496" s="34" t="s">
        <v>1291</v>
      </c>
      <c r="G496" s="35" t="s">
        <v>2015</v>
      </c>
      <c r="H496" s="32" t="s">
        <v>2012</v>
      </c>
      <c r="I496" s="33" t="s">
        <v>1803</v>
      </c>
      <c r="J496" s="210"/>
      <c r="K496" s="250"/>
      <c r="L496" s="251"/>
      <c r="M496" s="252"/>
      <c r="N496" s="253"/>
      <c r="O496" s="252"/>
      <c r="P496" s="254"/>
      <c r="Q496" s="418"/>
      <c r="R496" s="419"/>
      <c r="S496" s="420"/>
      <c r="T496" s="421"/>
      <c r="U496" s="420"/>
      <c r="V496" s="422"/>
      <c r="W496" s="597"/>
      <c r="X496" s="598"/>
      <c r="Y496" s="599"/>
      <c r="Z496" s="600"/>
      <c r="AA496" s="599"/>
      <c r="AB496" s="601"/>
      <c r="AC496" s="781"/>
      <c r="AD496" s="782"/>
      <c r="AE496" s="783"/>
      <c r="AF496" s="784"/>
      <c r="AG496" s="783"/>
      <c r="AH496" s="957"/>
      <c r="AI496" s="916" t="s">
        <v>2013</v>
      </c>
    </row>
    <row r="497" spans="1:35" ht="64.5" x14ac:dyDescent="0.25">
      <c r="A497" s="32" t="s">
        <v>2016</v>
      </c>
      <c r="B497" s="33" t="s">
        <v>40</v>
      </c>
      <c r="C497" s="33" t="s">
        <v>2010</v>
      </c>
      <c r="D497" s="33" t="s">
        <v>2017</v>
      </c>
      <c r="E497" s="33"/>
      <c r="F497" s="34" t="s">
        <v>1291</v>
      </c>
      <c r="G497" s="35" t="s">
        <v>2017</v>
      </c>
      <c r="H497" s="32" t="s">
        <v>2018</v>
      </c>
      <c r="I497" s="33" t="s">
        <v>556</v>
      </c>
      <c r="J497" s="210"/>
      <c r="K497" s="250"/>
      <c r="L497" s="251"/>
      <c r="M497" s="252"/>
      <c r="N497" s="253"/>
      <c r="O497" s="252"/>
      <c r="P497" s="254"/>
      <c r="Q497" s="418"/>
      <c r="R497" s="419"/>
      <c r="S497" s="420"/>
      <c r="T497" s="421"/>
      <c r="U497" s="420"/>
      <c r="V497" s="422"/>
      <c r="W497" s="597"/>
      <c r="X497" s="598"/>
      <c r="Y497" s="599"/>
      <c r="Z497" s="600"/>
      <c r="AA497" s="599"/>
      <c r="AB497" s="601"/>
      <c r="AC497" s="781"/>
      <c r="AD497" s="782"/>
      <c r="AE497" s="783"/>
      <c r="AF497" s="784"/>
      <c r="AG497" s="783"/>
      <c r="AH497" s="957"/>
      <c r="AI497" s="916"/>
    </row>
    <row r="498" spans="1:35" ht="64.5" x14ac:dyDescent="0.25">
      <c r="A498" s="32" t="s">
        <v>2019</v>
      </c>
      <c r="B498" s="33" t="s">
        <v>40</v>
      </c>
      <c r="C498" s="33" t="s">
        <v>2010</v>
      </c>
      <c r="D498" s="33" t="s">
        <v>2020</v>
      </c>
      <c r="E498" s="33"/>
      <c r="F498" s="34" t="s">
        <v>1291</v>
      </c>
      <c r="G498" s="35" t="s">
        <v>2020</v>
      </c>
      <c r="H498" s="32" t="s">
        <v>2021</v>
      </c>
      <c r="I498" s="33" t="s">
        <v>432</v>
      </c>
      <c r="J498" s="210"/>
      <c r="K498" s="250"/>
      <c r="L498" s="251"/>
      <c r="M498" s="252"/>
      <c r="N498" s="253"/>
      <c r="O498" s="252"/>
      <c r="P498" s="254"/>
      <c r="Q498" s="418"/>
      <c r="R498" s="419"/>
      <c r="S498" s="420"/>
      <c r="T498" s="421"/>
      <c r="U498" s="420"/>
      <c r="V498" s="422"/>
      <c r="W498" s="597"/>
      <c r="X498" s="598"/>
      <c r="Y498" s="599"/>
      <c r="Z498" s="600"/>
      <c r="AA498" s="599"/>
      <c r="AB498" s="601"/>
      <c r="AC498" s="781"/>
      <c r="AD498" s="782"/>
      <c r="AE498" s="783"/>
      <c r="AF498" s="784"/>
      <c r="AG498" s="783"/>
      <c r="AH498" s="957"/>
      <c r="AI498" s="916" t="s">
        <v>2022</v>
      </c>
    </row>
    <row r="499" spans="1:35" ht="39" x14ac:dyDescent="0.25">
      <c r="A499" s="32" t="s">
        <v>2023</v>
      </c>
      <c r="B499" s="33" t="s">
        <v>40</v>
      </c>
      <c r="C499" s="33" t="s">
        <v>2010</v>
      </c>
      <c r="D499" s="33" t="s">
        <v>2024</v>
      </c>
      <c r="E499" s="33"/>
      <c r="F499" s="34" t="s">
        <v>2025</v>
      </c>
      <c r="G499" s="35" t="s">
        <v>2024</v>
      </c>
      <c r="H499" s="32" t="s">
        <v>2012</v>
      </c>
      <c r="I499" s="33" t="s">
        <v>1803</v>
      </c>
      <c r="J499" s="210"/>
      <c r="K499" s="250"/>
      <c r="L499" s="251"/>
      <c r="M499" s="252"/>
      <c r="N499" s="253"/>
      <c r="O499" s="252"/>
      <c r="P499" s="254"/>
      <c r="Q499" s="418"/>
      <c r="R499" s="419"/>
      <c r="S499" s="420"/>
      <c r="T499" s="421"/>
      <c r="U499" s="420"/>
      <c r="V499" s="422"/>
      <c r="W499" s="597"/>
      <c r="X499" s="598"/>
      <c r="Y499" s="599"/>
      <c r="Z499" s="600"/>
      <c r="AA499" s="599"/>
      <c r="AB499" s="601"/>
      <c r="AC499" s="781"/>
      <c r="AD499" s="782"/>
      <c r="AE499" s="783"/>
      <c r="AF499" s="784"/>
      <c r="AG499" s="783"/>
      <c r="AH499" s="957"/>
      <c r="AI499" s="916" t="s">
        <v>1797</v>
      </c>
    </row>
    <row r="500" spans="1:35" ht="64.5" x14ac:dyDescent="0.25">
      <c r="A500" s="32" t="s">
        <v>2026</v>
      </c>
      <c r="B500" s="33" t="s">
        <v>40</v>
      </c>
      <c r="C500" s="33" t="s">
        <v>2010</v>
      </c>
      <c r="D500" s="33" t="s">
        <v>2027</v>
      </c>
      <c r="E500" s="33"/>
      <c r="F500" s="34" t="s">
        <v>1291</v>
      </c>
      <c r="G500" s="35" t="s">
        <v>2027</v>
      </c>
      <c r="H500" s="32" t="s">
        <v>2012</v>
      </c>
      <c r="I500" s="33" t="s">
        <v>1803</v>
      </c>
      <c r="J500" s="210"/>
      <c r="K500" s="250"/>
      <c r="L500" s="251"/>
      <c r="M500" s="252"/>
      <c r="N500" s="253"/>
      <c r="O500" s="252"/>
      <c r="P500" s="254"/>
      <c r="Q500" s="418"/>
      <c r="R500" s="419"/>
      <c r="S500" s="420"/>
      <c r="T500" s="421"/>
      <c r="U500" s="420"/>
      <c r="V500" s="422"/>
      <c r="W500" s="597"/>
      <c r="X500" s="598"/>
      <c r="Y500" s="599"/>
      <c r="Z500" s="600"/>
      <c r="AA500" s="599"/>
      <c r="AB500" s="601"/>
      <c r="AC500" s="781"/>
      <c r="AD500" s="782"/>
      <c r="AE500" s="783"/>
      <c r="AF500" s="784"/>
      <c r="AG500" s="783"/>
      <c r="AH500" s="957"/>
      <c r="AI500" s="916" t="s">
        <v>2028</v>
      </c>
    </row>
    <row r="501" spans="1:35" ht="64.5" x14ac:dyDescent="0.25">
      <c r="A501" s="32" t="s">
        <v>2029</v>
      </c>
      <c r="B501" s="33" t="s">
        <v>40</v>
      </c>
      <c r="C501" s="33" t="s">
        <v>2010</v>
      </c>
      <c r="D501" s="33" t="s">
        <v>2030</v>
      </c>
      <c r="E501" s="33"/>
      <c r="F501" s="34" t="s">
        <v>1291</v>
      </c>
      <c r="G501" s="35" t="s">
        <v>2030</v>
      </c>
      <c r="H501" s="32" t="s">
        <v>2031</v>
      </c>
      <c r="I501" s="33" t="s">
        <v>2032</v>
      </c>
      <c r="J501" s="210"/>
      <c r="K501" s="250"/>
      <c r="L501" s="251"/>
      <c r="M501" s="252"/>
      <c r="N501" s="253"/>
      <c r="O501" s="252"/>
      <c r="P501" s="254"/>
      <c r="Q501" s="418"/>
      <c r="R501" s="419"/>
      <c r="S501" s="420"/>
      <c r="T501" s="421"/>
      <c r="U501" s="420"/>
      <c r="V501" s="422"/>
      <c r="W501" s="597"/>
      <c r="X501" s="598"/>
      <c r="Y501" s="599"/>
      <c r="Z501" s="600"/>
      <c r="AA501" s="599"/>
      <c r="AB501" s="601"/>
      <c r="AC501" s="781"/>
      <c r="AD501" s="782"/>
      <c r="AE501" s="783"/>
      <c r="AF501" s="784"/>
      <c r="AG501" s="783"/>
      <c r="AH501" s="957"/>
      <c r="AI501" s="916" t="s">
        <v>2033</v>
      </c>
    </row>
    <row r="502" spans="1:35" ht="51.75" x14ac:dyDescent="0.25">
      <c r="A502" s="118" t="s">
        <v>2034</v>
      </c>
      <c r="B502" s="119" t="s">
        <v>40</v>
      </c>
      <c r="C502" s="119" t="s">
        <v>2010</v>
      </c>
      <c r="D502" s="119" t="s">
        <v>2035</v>
      </c>
      <c r="E502" s="119"/>
      <c r="F502" s="112" t="s">
        <v>2036</v>
      </c>
      <c r="G502" s="113" t="s">
        <v>1262</v>
      </c>
      <c r="H502" s="118"/>
      <c r="I502" s="119"/>
      <c r="J502" s="214"/>
      <c r="K502" s="289">
        <v>1</v>
      </c>
      <c r="L502" s="290" t="s">
        <v>344</v>
      </c>
      <c r="M502" s="258">
        <f>(1051917/2000000)-K502</f>
        <v>-0.4740415</v>
      </c>
      <c r="N502" s="259">
        <f>1051917/2000000</f>
        <v>0.5259585</v>
      </c>
      <c r="O502" s="258">
        <f>(1051917/1000000)-K502</f>
        <v>5.1916999999999991E-2</v>
      </c>
      <c r="P502" s="260">
        <f>1051917/1000000</f>
        <v>1.051917</v>
      </c>
      <c r="Q502" s="529">
        <v>0</v>
      </c>
      <c r="R502" s="424" t="s">
        <v>61</v>
      </c>
      <c r="S502" s="425">
        <f>(578592/2000000)-Q502</f>
        <v>0.289296</v>
      </c>
      <c r="T502" s="426" t="s">
        <v>61</v>
      </c>
      <c r="U502" s="425">
        <f>(578592/1000000)-Q502</f>
        <v>0.578592</v>
      </c>
      <c r="V502" s="427" t="s">
        <v>61</v>
      </c>
      <c r="W502" s="602">
        <v>0</v>
      </c>
      <c r="X502" s="603" t="s">
        <v>61</v>
      </c>
      <c r="Y502" s="604">
        <f>(189789/2000000)-W502</f>
        <v>9.4894500000000007E-2</v>
      </c>
      <c r="Z502" s="605" t="s">
        <v>61</v>
      </c>
      <c r="AA502" s="604">
        <f>(189789/1000000)-W502</f>
        <v>0.18978900000000001</v>
      </c>
      <c r="AB502" s="606" t="s">
        <v>61</v>
      </c>
      <c r="AC502" s="789">
        <v>1</v>
      </c>
      <c r="AD502" s="786" t="s">
        <v>150</v>
      </c>
      <c r="AE502" s="790">
        <f>(263509/2000000)-AC502</f>
        <v>-0.8682455</v>
      </c>
      <c r="AF502" s="791">
        <f>263509/2000000</f>
        <v>0.1317545</v>
      </c>
      <c r="AG502" s="790">
        <f>(263509/1000000)-AC502</f>
        <v>-0.73649100000000001</v>
      </c>
      <c r="AH502" s="958">
        <f>263509/1000000</f>
        <v>0.26350899999999999</v>
      </c>
      <c r="AI502" s="932"/>
    </row>
    <row r="503" spans="1:35" ht="90" x14ac:dyDescent="0.25">
      <c r="A503" s="118" t="s">
        <v>2037</v>
      </c>
      <c r="B503" s="119" t="s">
        <v>40</v>
      </c>
      <c r="C503" s="119" t="s">
        <v>2010</v>
      </c>
      <c r="D503" s="119" t="s">
        <v>2038</v>
      </c>
      <c r="E503" s="119"/>
      <c r="F503" s="112" t="s">
        <v>2039</v>
      </c>
      <c r="G503" s="113" t="s">
        <v>1262</v>
      </c>
      <c r="H503" s="118"/>
      <c r="I503" s="119"/>
      <c r="J503" s="214"/>
      <c r="K503" s="289"/>
      <c r="L503" s="290"/>
      <c r="M503" s="258"/>
      <c r="N503" s="259"/>
      <c r="O503" s="258"/>
      <c r="P503" s="260"/>
      <c r="Q503" s="529"/>
      <c r="R503" s="424"/>
      <c r="S503" s="425"/>
      <c r="T503" s="426"/>
      <c r="U503" s="425"/>
      <c r="V503" s="427"/>
      <c r="W503" s="602"/>
      <c r="X503" s="603"/>
      <c r="Y503" s="604"/>
      <c r="Z503" s="605"/>
      <c r="AA503" s="604"/>
      <c r="AB503" s="606"/>
      <c r="AC503" s="789"/>
      <c r="AD503" s="786"/>
      <c r="AE503" s="790"/>
      <c r="AF503" s="791"/>
      <c r="AG503" s="790"/>
      <c r="AH503" s="958"/>
      <c r="AI503" s="932"/>
    </row>
    <row r="504" spans="1:35" ht="64.5" x14ac:dyDescent="0.25">
      <c r="A504" s="118" t="s">
        <v>2040</v>
      </c>
      <c r="B504" s="119" t="s">
        <v>40</v>
      </c>
      <c r="C504" s="119" t="s">
        <v>2010</v>
      </c>
      <c r="D504" s="119" t="s">
        <v>2041</v>
      </c>
      <c r="E504" s="119"/>
      <c r="F504" s="112" t="s">
        <v>2041</v>
      </c>
      <c r="G504" s="113" t="s">
        <v>1262</v>
      </c>
      <c r="H504" s="118"/>
      <c r="I504" s="119"/>
      <c r="J504" s="214"/>
      <c r="K504" s="289"/>
      <c r="L504" s="290"/>
      <c r="M504" s="258"/>
      <c r="N504" s="259"/>
      <c r="O504" s="258"/>
      <c r="P504" s="260"/>
      <c r="Q504" s="529"/>
      <c r="R504" s="424"/>
      <c r="S504" s="425"/>
      <c r="T504" s="426"/>
      <c r="U504" s="425"/>
      <c r="V504" s="427"/>
      <c r="W504" s="602"/>
      <c r="X504" s="603"/>
      <c r="Y504" s="604"/>
      <c r="Z504" s="605"/>
      <c r="AA504" s="604"/>
      <c r="AB504" s="606"/>
      <c r="AC504" s="789"/>
      <c r="AD504" s="786"/>
      <c r="AE504" s="790"/>
      <c r="AF504" s="791"/>
      <c r="AG504" s="790"/>
      <c r="AH504" s="958"/>
      <c r="AI504" s="932"/>
    </row>
    <row r="505" spans="1:35" ht="51.75" x14ac:dyDescent="0.25">
      <c r="A505" s="162" t="s">
        <v>2042</v>
      </c>
      <c r="B505" s="163" t="s">
        <v>40</v>
      </c>
      <c r="C505" s="163" t="s">
        <v>2010</v>
      </c>
      <c r="D505" s="163" t="s">
        <v>2035</v>
      </c>
      <c r="E505" s="163"/>
      <c r="F505" s="39" t="s">
        <v>2035</v>
      </c>
      <c r="G505" s="164" t="s">
        <v>2035</v>
      </c>
      <c r="H505" s="162"/>
      <c r="I505" s="163"/>
      <c r="J505" s="214"/>
      <c r="K505" s="289">
        <v>137</v>
      </c>
      <c r="L505" s="290" t="s">
        <v>2043</v>
      </c>
      <c r="M505" s="258">
        <f>(1051917/2000000)-K505</f>
        <v>-136.4740415</v>
      </c>
      <c r="N505" s="259">
        <f>7678/2000000</f>
        <v>3.839E-3</v>
      </c>
      <c r="O505" s="258">
        <f>(1051917/1000000)-K505</f>
        <v>-135.948083</v>
      </c>
      <c r="P505" s="260">
        <f>7678/1000000</f>
        <v>7.6779999999999999E-3</v>
      </c>
      <c r="Q505" s="423">
        <v>83</v>
      </c>
      <c r="R505" s="424" t="s">
        <v>2044</v>
      </c>
      <c r="S505" s="428">
        <f>(578592/2000000)-Q505</f>
        <v>-82.710704000000007</v>
      </c>
      <c r="T505" s="429">
        <f>6971/2000000</f>
        <v>3.4854999999999999E-3</v>
      </c>
      <c r="U505" s="428">
        <f>(578592/1000000)-Q505</f>
        <v>-82.421408</v>
      </c>
      <c r="V505" s="430">
        <f>6971/1000000</f>
        <v>6.9709999999999998E-3</v>
      </c>
      <c r="W505" s="607">
        <v>14</v>
      </c>
      <c r="X505" s="603" t="s">
        <v>1222</v>
      </c>
      <c r="Y505" s="608">
        <f>(189789/2000000)-W505</f>
        <v>-13.905105499999999</v>
      </c>
      <c r="Z505" s="609">
        <f>13556/2000000</f>
        <v>6.7780000000000002E-3</v>
      </c>
      <c r="AA505" s="608">
        <f>(189789/1000000)-W505</f>
        <v>-13.810211000000001</v>
      </c>
      <c r="AB505" s="610">
        <f>13556/1000000</f>
        <v>1.3556E-2</v>
      </c>
      <c r="AC505" s="789">
        <v>40</v>
      </c>
      <c r="AD505" s="786" t="s">
        <v>2045</v>
      </c>
      <c r="AE505" s="790">
        <f>(263509/2000000)-AC505</f>
        <v>-39.8682455</v>
      </c>
      <c r="AF505" s="791">
        <f>6558/2000000</f>
        <v>3.2789999999999998E-3</v>
      </c>
      <c r="AG505" s="790">
        <f>(263509/1000000)-AC505</f>
        <v>-39.736491000000001</v>
      </c>
      <c r="AH505" s="958">
        <f>6558/1000000</f>
        <v>6.5579999999999996E-3</v>
      </c>
      <c r="AI505" s="941"/>
    </row>
    <row r="506" spans="1:35" ht="60" x14ac:dyDescent="0.25">
      <c r="A506" s="41" t="s">
        <v>2042</v>
      </c>
      <c r="B506" s="42" t="s">
        <v>40</v>
      </c>
      <c r="C506" s="42" t="s">
        <v>2010</v>
      </c>
      <c r="D506" s="42" t="s">
        <v>2035</v>
      </c>
      <c r="E506" s="42"/>
      <c r="F506" s="43" t="s">
        <v>2035</v>
      </c>
      <c r="G506" s="44" t="s">
        <v>2035</v>
      </c>
      <c r="H506" s="41" t="s">
        <v>2046</v>
      </c>
      <c r="I506" s="42" t="s">
        <v>109</v>
      </c>
      <c r="J506" s="211"/>
      <c r="K506" s="261">
        <v>138</v>
      </c>
      <c r="L506" s="262" t="s">
        <v>2047</v>
      </c>
      <c r="M506" s="263">
        <f>(1051917/2000000)-K506</f>
        <v>-137.4740415</v>
      </c>
      <c r="N506" s="264">
        <f>7622/2000000</f>
        <v>3.8110000000000002E-3</v>
      </c>
      <c r="O506" s="263">
        <f>(1051917/1000000)-K506</f>
        <v>-136.948083</v>
      </c>
      <c r="P506" s="265">
        <f>7622/1000000</f>
        <v>7.6220000000000003E-3</v>
      </c>
      <c r="Q506" s="431">
        <v>83</v>
      </c>
      <c r="R506" s="432" t="s">
        <v>2044</v>
      </c>
      <c r="S506" s="433">
        <f>(578592/2000000)-Q506</f>
        <v>-82.710704000000007</v>
      </c>
      <c r="T506" s="434">
        <v>3.4854999999999999E-3</v>
      </c>
      <c r="U506" s="433">
        <f>(578592/1000000)-Q506</f>
        <v>-82.421408</v>
      </c>
      <c r="V506" s="435">
        <v>6.9709999999999998E-3</v>
      </c>
      <c r="W506" s="611">
        <v>14</v>
      </c>
      <c r="X506" s="612" t="s">
        <v>1222</v>
      </c>
      <c r="Y506" s="613">
        <f>(189789/2000000)-W506</f>
        <v>-13.905105499999999</v>
      </c>
      <c r="Z506" s="614">
        <v>6.7780000000000002E-3</v>
      </c>
      <c r="AA506" s="613">
        <f>(189789/1000000)-W506</f>
        <v>-13.810211000000001</v>
      </c>
      <c r="AB506" s="615">
        <v>1.3556E-2</v>
      </c>
      <c r="AC506" s="792">
        <v>41</v>
      </c>
      <c r="AD506" s="793" t="s">
        <v>2048</v>
      </c>
      <c r="AE506" s="794">
        <f>(263509/2000000)-AC506</f>
        <v>-40.8682455</v>
      </c>
      <c r="AF506" s="795">
        <f>6427/2000000</f>
        <v>3.2135000000000002E-3</v>
      </c>
      <c r="AG506" s="794">
        <f>(263509/1000000)-AC506</f>
        <v>-40.736491000000001</v>
      </c>
      <c r="AH506" s="959">
        <f>6427/1000000</f>
        <v>6.4270000000000004E-3</v>
      </c>
      <c r="AI506" s="918" t="s">
        <v>2049</v>
      </c>
    </row>
    <row r="507" spans="1:35" ht="64.5" x14ac:dyDescent="0.25">
      <c r="A507" s="32" t="s">
        <v>2050</v>
      </c>
      <c r="B507" s="33" t="s">
        <v>40</v>
      </c>
      <c r="C507" s="33" t="s">
        <v>2010</v>
      </c>
      <c r="D507" s="33" t="s">
        <v>2051</v>
      </c>
      <c r="E507" s="33"/>
      <c r="F507" s="34" t="s">
        <v>1291</v>
      </c>
      <c r="G507" s="35" t="s">
        <v>2051</v>
      </c>
      <c r="H507" s="32" t="s">
        <v>2046</v>
      </c>
      <c r="I507" s="33" t="s">
        <v>260</v>
      </c>
      <c r="J507" s="210"/>
      <c r="K507" s="250"/>
      <c r="L507" s="251"/>
      <c r="M507" s="252"/>
      <c r="N507" s="253"/>
      <c r="O507" s="252"/>
      <c r="P507" s="254"/>
      <c r="Q507" s="418"/>
      <c r="R507" s="419"/>
      <c r="S507" s="420"/>
      <c r="T507" s="421"/>
      <c r="U507" s="420"/>
      <c r="V507" s="422"/>
      <c r="W507" s="597"/>
      <c r="X507" s="598"/>
      <c r="Y507" s="599"/>
      <c r="Z507" s="600"/>
      <c r="AA507" s="599"/>
      <c r="AB507" s="601"/>
      <c r="AC507" s="781"/>
      <c r="AD507" s="782"/>
      <c r="AE507" s="783"/>
      <c r="AF507" s="784"/>
      <c r="AG507" s="783"/>
      <c r="AH507" s="957"/>
      <c r="AI507" s="916" t="s">
        <v>2052</v>
      </c>
    </row>
    <row r="508" spans="1:35" ht="64.5" x14ac:dyDescent="0.25">
      <c r="A508" s="32" t="s">
        <v>2053</v>
      </c>
      <c r="B508" s="33" t="s">
        <v>40</v>
      </c>
      <c r="C508" s="33" t="s">
        <v>2010</v>
      </c>
      <c r="D508" s="33" t="s">
        <v>2054</v>
      </c>
      <c r="E508" s="33"/>
      <c r="F508" s="34" t="s">
        <v>1291</v>
      </c>
      <c r="G508" s="35" t="s">
        <v>2054</v>
      </c>
      <c r="H508" s="32" t="s">
        <v>89</v>
      </c>
      <c r="I508" s="33" t="s">
        <v>432</v>
      </c>
      <c r="J508" s="210"/>
      <c r="K508" s="250"/>
      <c r="L508" s="251"/>
      <c r="M508" s="252"/>
      <c r="N508" s="253"/>
      <c r="O508" s="252"/>
      <c r="P508" s="254"/>
      <c r="Q508" s="418"/>
      <c r="R508" s="419"/>
      <c r="S508" s="420"/>
      <c r="T508" s="421"/>
      <c r="U508" s="420"/>
      <c r="V508" s="422"/>
      <c r="W508" s="597"/>
      <c r="X508" s="598"/>
      <c r="Y508" s="599"/>
      <c r="Z508" s="600"/>
      <c r="AA508" s="599"/>
      <c r="AB508" s="601"/>
      <c r="AC508" s="781"/>
      <c r="AD508" s="782"/>
      <c r="AE508" s="783"/>
      <c r="AF508" s="784"/>
      <c r="AG508" s="783"/>
      <c r="AH508" s="957"/>
      <c r="AI508" s="916" t="s">
        <v>2055</v>
      </c>
    </row>
    <row r="509" spans="1:35" ht="26.25" x14ac:dyDescent="0.25">
      <c r="A509" s="18" t="s">
        <v>2056</v>
      </c>
      <c r="B509" s="19" t="s">
        <v>40</v>
      </c>
      <c r="C509" s="19" t="s">
        <v>2010</v>
      </c>
      <c r="D509" s="19" t="s">
        <v>2057</v>
      </c>
      <c r="E509" s="19" t="s">
        <v>2058</v>
      </c>
      <c r="F509" s="20"/>
      <c r="G509" s="21" t="s">
        <v>2058</v>
      </c>
      <c r="H509" s="18" t="s">
        <v>2012</v>
      </c>
      <c r="I509" s="19" t="s">
        <v>2059</v>
      </c>
      <c r="J509" s="210"/>
      <c r="K509" s="250"/>
      <c r="L509" s="251"/>
      <c r="M509" s="252"/>
      <c r="N509" s="253"/>
      <c r="O509" s="252"/>
      <c r="P509" s="254"/>
      <c r="Q509" s="418"/>
      <c r="R509" s="419"/>
      <c r="S509" s="420"/>
      <c r="T509" s="421"/>
      <c r="U509" s="420"/>
      <c r="V509" s="422"/>
      <c r="W509" s="597"/>
      <c r="X509" s="598"/>
      <c r="Y509" s="599"/>
      <c r="Z509" s="600"/>
      <c r="AA509" s="599"/>
      <c r="AB509" s="601"/>
      <c r="AC509" s="781"/>
      <c r="AD509" s="782"/>
      <c r="AE509" s="783"/>
      <c r="AF509" s="784"/>
      <c r="AG509" s="783"/>
      <c r="AH509" s="957"/>
      <c r="AI509" s="913" t="s">
        <v>2013</v>
      </c>
    </row>
    <row r="510" spans="1:35" ht="26.25" x14ac:dyDescent="0.25">
      <c r="A510" s="18" t="s">
        <v>2060</v>
      </c>
      <c r="B510" s="19" t="s">
        <v>40</v>
      </c>
      <c r="C510" s="19" t="s">
        <v>2010</v>
      </c>
      <c r="D510" s="19" t="s">
        <v>2057</v>
      </c>
      <c r="E510" s="19" t="s">
        <v>2061</v>
      </c>
      <c r="F510" s="20"/>
      <c r="G510" s="21" t="s">
        <v>2061</v>
      </c>
      <c r="H510" s="18" t="s">
        <v>2062</v>
      </c>
      <c r="I510" s="19" t="s">
        <v>2059</v>
      </c>
      <c r="J510" s="210"/>
      <c r="K510" s="250"/>
      <c r="L510" s="251"/>
      <c r="M510" s="252"/>
      <c r="N510" s="253"/>
      <c r="O510" s="252"/>
      <c r="P510" s="254"/>
      <c r="Q510" s="418"/>
      <c r="R510" s="419"/>
      <c r="S510" s="420"/>
      <c r="T510" s="421"/>
      <c r="U510" s="420"/>
      <c r="V510" s="422"/>
      <c r="W510" s="597"/>
      <c r="X510" s="598"/>
      <c r="Y510" s="599"/>
      <c r="Z510" s="600"/>
      <c r="AA510" s="599"/>
      <c r="AB510" s="601"/>
      <c r="AC510" s="781"/>
      <c r="AD510" s="782"/>
      <c r="AE510" s="783"/>
      <c r="AF510" s="784"/>
      <c r="AG510" s="783"/>
      <c r="AH510" s="957"/>
      <c r="AI510" s="913" t="s">
        <v>2028</v>
      </c>
    </row>
    <row r="511" spans="1:35" ht="65.25" thickBot="1" x14ac:dyDescent="0.3">
      <c r="A511" s="165" t="s">
        <v>2063</v>
      </c>
      <c r="B511" s="166" t="s">
        <v>40</v>
      </c>
      <c r="C511" s="166" t="s">
        <v>2010</v>
      </c>
      <c r="D511" s="166" t="s">
        <v>2057</v>
      </c>
      <c r="E511" s="166"/>
      <c r="F511" s="167" t="s">
        <v>1291</v>
      </c>
      <c r="G511" s="168" t="s">
        <v>2057</v>
      </c>
      <c r="H511" s="165" t="s">
        <v>61</v>
      </c>
      <c r="I511" s="166" t="s">
        <v>61</v>
      </c>
      <c r="J511" s="226"/>
      <c r="K511" s="354"/>
      <c r="L511" s="355"/>
      <c r="M511" s="356"/>
      <c r="N511" s="357"/>
      <c r="O511" s="356"/>
      <c r="P511" s="358"/>
      <c r="Q511" s="530"/>
      <c r="R511" s="531"/>
      <c r="S511" s="532"/>
      <c r="T511" s="533"/>
      <c r="U511" s="532"/>
      <c r="V511" s="534"/>
      <c r="W511" s="713"/>
      <c r="X511" s="714"/>
      <c r="Y511" s="715"/>
      <c r="Z511" s="716"/>
      <c r="AA511" s="715"/>
      <c r="AB511" s="717"/>
      <c r="AC511" s="869"/>
      <c r="AD511" s="870"/>
      <c r="AE511" s="871"/>
      <c r="AF511" s="872"/>
      <c r="AG511" s="871"/>
      <c r="AH511" s="982"/>
      <c r="AI511" s="942" t="s">
        <v>2064</v>
      </c>
    </row>
    <row r="512" spans="1:35" ht="64.5" x14ac:dyDescent="0.25">
      <c r="A512" s="169" t="s">
        <v>2065</v>
      </c>
      <c r="B512" s="170" t="s">
        <v>40</v>
      </c>
      <c r="C512" s="170" t="s">
        <v>2066</v>
      </c>
      <c r="D512" s="170" t="s">
        <v>2067</v>
      </c>
      <c r="E512" s="170"/>
      <c r="F512" s="171" t="s">
        <v>2068</v>
      </c>
      <c r="G512" s="113" t="s">
        <v>1262</v>
      </c>
      <c r="H512" s="169"/>
      <c r="I512" s="170"/>
      <c r="J512" s="218"/>
      <c r="K512" s="313">
        <v>2</v>
      </c>
      <c r="L512" s="314" t="s">
        <v>58</v>
      </c>
      <c r="M512" s="359">
        <f>(1051917/20000)-K512</f>
        <v>50.595849999999999</v>
      </c>
      <c r="N512" s="360">
        <f>525958/20000</f>
        <v>26.297899999999998</v>
      </c>
      <c r="O512" s="359">
        <f>(1051917/10000)-K512</f>
        <v>103.1917</v>
      </c>
      <c r="P512" s="361">
        <f>525958/10000</f>
        <v>52.595799999999997</v>
      </c>
      <c r="Q512" s="535">
        <v>0</v>
      </c>
      <c r="R512" s="486" t="s">
        <v>61</v>
      </c>
      <c r="S512" s="536">
        <f>(578509/20000)-Q512</f>
        <v>28.925450000000001</v>
      </c>
      <c r="T512" s="537" t="s">
        <v>61</v>
      </c>
      <c r="U512" s="536">
        <f>(578592/10000)-Q512</f>
        <v>57.859200000000001</v>
      </c>
      <c r="V512" s="538" t="s">
        <v>61</v>
      </c>
      <c r="W512" s="672">
        <v>1</v>
      </c>
      <c r="X512" s="673" t="s">
        <v>739</v>
      </c>
      <c r="Y512" s="718">
        <f>(189789/20000)-W512</f>
        <v>8.4894499999999997</v>
      </c>
      <c r="Z512" s="719">
        <f>189789/20000</f>
        <v>9.4894499999999997</v>
      </c>
      <c r="AA512" s="718">
        <f>(189789/10000)-W512</f>
        <v>17.978899999999999</v>
      </c>
      <c r="AB512" s="720">
        <f>189789/10000</f>
        <v>18.978899999999999</v>
      </c>
      <c r="AC512" s="836">
        <v>1</v>
      </c>
      <c r="AD512" s="837" t="s">
        <v>150</v>
      </c>
      <c r="AE512" s="873">
        <f>(263509/20000)-AC512</f>
        <v>12.17545</v>
      </c>
      <c r="AF512" s="874">
        <f>263509/20000</f>
        <v>13.17545</v>
      </c>
      <c r="AG512" s="873">
        <f>(263509/10000)-AC512</f>
        <v>25.350899999999999</v>
      </c>
      <c r="AH512" s="983">
        <f>263509/10000</f>
        <v>26.350899999999999</v>
      </c>
      <c r="AI512" s="943"/>
    </row>
    <row r="513" spans="1:35" ht="51.75" x14ac:dyDescent="0.25">
      <c r="A513" s="37" t="s">
        <v>2069</v>
      </c>
      <c r="B513" s="38" t="s">
        <v>40</v>
      </c>
      <c r="C513" s="38" t="s">
        <v>2066</v>
      </c>
      <c r="D513" s="38" t="s">
        <v>2067</v>
      </c>
      <c r="E513" s="38"/>
      <c r="F513" s="39" t="s">
        <v>2067</v>
      </c>
      <c r="G513" s="40" t="s">
        <v>2067</v>
      </c>
      <c r="H513" s="37"/>
      <c r="I513" s="38"/>
      <c r="J513" s="210"/>
      <c r="K513" s="250">
        <v>12</v>
      </c>
      <c r="L513" s="251" t="s">
        <v>2070</v>
      </c>
      <c r="M513" s="255">
        <f>(1051917/20000)-K513</f>
        <v>40.595849999999999</v>
      </c>
      <c r="N513" s="256">
        <f>87659/20000</f>
        <v>4.3829500000000001</v>
      </c>
      <c r="O513" s="255">
        <f>(1051917/10000)-K513</f>
        <v>93.191699999999997</v>
      </c>
      <c r="P513" s="257">
        <f>87659/10000</f>
        <v>8.7659000000000002</v>
      </c>
      <c r="Q513" s="418">
        <v>5</v>
      </c>
      <c r="R513" s="419" t="s">
        <v>154</v>
      </c>
      <c r="S513" s="425">
        <f>(578509/20000)-Q513</f>
        <v>23.925450000000001</v>
      </c>
      <c r="T513" s="426">
        <f>115718/20000</f>
        <v>5.7858999999999998</v>
      </c>
      <c r="U513" s="425">
        <f>(578592/10000)-Q513</f>
        <v>52.859200000000001</v>
      </c>
      <c r="V513" s="427">
        <f>115718/10000</f>
        <v>11.5718</v>
      </c>
      <c r="W513" s="597">
        <v>4</v>
      </c>
      <c r="X513" s="598" t="s">
        <v>69</v>
      </c>
      <c r="Y513" s="604">
        <f>(189789/20000)-W513</f>
        <v>5.4894499999999997</v>
      </c>
      <c r="Z513" s="605">
        <f>47447/20000</f>
        <v>2.37235</v>
      </c>
      <c r="AA513" s="604">
        <f>(189789/10000)-W513</f>
        <v>14.978899999999999</v>
      </c>
      <c r="AB513" s="606">
        <f>47447/10000</f>
        <v>4.7446999999999999</v>
      </c>
      <c r="AC513" s="781">
        <v>3</v>
      </c>
      <c r="AD513" s="782" t="s">
        <v>71</v>
      </c>
      <c r="AE513" s="787">
        <f>(263509/20000)-AC513</f>
        <v>10.17545</v>
      </c>
      <c r="AF513" s="788">
        <f>87836/20000</f>
        <v>4.3917999999999999</v>
      </c>
      <c r="AG513" s="787">
        <f>(263509/10000)-AC513</f>
        <v>23.350899999999999</v>
      </c>
      <c r="AH513" s="889">
        <f>87836/10000</f>
        <v>8.7835999999999999</v>
      </c>
      <c r="AI513" s="917"/>
    </row>
    <row r="514" spans="1:35" ht="30" x14ac:dyDescent="0.25">
      <c r="A514" s="41" t="s">
        <v>2069</v>
      </c>
      <c r="B514" s="42" t="s">
        <v>40</v>
      </c>
      <c r="C514" s="42" t="s">
        <v>2066</v>
      </c>
      <c r="D514" s="42" t="s">
        <v>2067</v>
      </c>
      <c r="E514" s="42"/>
      <c r="F514" s="43" t="s">
        <v>72</v>
      </c>
      <c r="G514" s="44" t="s">
        <v>2067</v>
      </c>
      <c r="H514" s="41" t="s">
        <v>2071</v>
      </c>
      <c r="I514" s="42" t="s">
        <v>432</v>
      </c>
      <c r="J514" s="211"/>
      <c r="K514" s="261">
        <v>14</v>
      </c>
      <c r="L514" s="262" t="s">
        <v>1025</v>
      </c>
      <c r="M514" s="266">
        <f>(1051917/20000)-K514</f>
        <v>38.595849999999999</v>
      </c>
      <c r="N514" s="267">
        <f>75136/20000</f>
        <v>3.7568000000000001</v>
      </c>
      <c r="O514" s="266">
        <f>(1051917/10000)-K514</f>
        <v>91.191699999999997</v>
      </c>
      <c r="P514" s="268">
        <f>75136/10000</f>
        <v>7.5136000000000003</v>
      </c>
      <c r="Q514" s="431">
        <v>5</v>
      </c>
      <c r="R514" s="432" t="s">
        <v>154</v>
      </c>
      <c r="S514" s="442">
        <f>(578509/20000)-Q514</f>
        <v>23.925450000000001</v>
      </c>
      <c r="T514" s="443">
        <f>115718/20000</f>
        <v>5.7858999999999998</v>
      </c>
      <c r="U514" s="442">
        <f>(578592/10000)-Q514</f>
        <v>52.859200000000001</v>
      </c>
      <c r="V514" s="444">
        <f>115718/10000</f>
        <v>11.5718</v>
      </c>
      <c r="W514" s="611">
        <v>5</v>
      </c>
      <c r="X514" s="612" t="s">
        <v>1110</v>
      </c>
      <c r="Y514" s="627">
        <f>(189789/20000)-W514</f>
        <v>4.4894499999999997</v>
      </c>
      <c r="Z514" s="642">
        <f>37957/20000</f>
        <v>1.89785</v>
      </c>
      <c r="AA514" s="627">
        <f>(189789/10000)-W514</f>
        <v>13.978899999999999</v>
      </c>
      <c r="AB514" s="643">
        <f>37957/10000</f>
        <v>3.7957000000000001</v>
      </c>
      <c r="AC514" s="792">
        <v>4</v>
      </c>
      <c r="AD514" s="793" t="s">
        <v>730</v>
      </c>
      <c r="AE514" s="799">
        <f>(263509/20000)-AC514</f>
        <v>9.1754499999999997</v>
      </c>
      <c r="AF514" s="817">
        <f>65877/20000</f>
        <v>3.2938499999999999</v>
      </c>
      <c r="AG514" s="799">
        <f>(263509/10000)-AC514</f>
        <v>22.350899999999999</v>
      </c>
      <c r="AH514" s="968">
        <f>65877/10000</f>
        <v>6.5876999999999999</v>
      </c>
      <c r="AI514" s="918"/>
    </row>
    <row r="515" spans="1:35" ht="64.5" x14ac:dyDescent="0.25">
      <c r="A515" s="32" t="s">
        <v>2072</v>
      </c>
      <c r="B515" s="33" t="s">
        <v>40</v>
      </c>
      <c r="C515" s="33" t="s">
        <v>2066</v>
      </c>
      <c r="D515" s="33" t="s">
        <v>2073</v>
      </c>
      <c r="E515" s="33"/>
      <c r="F515" s="34" t="s">
        <v>1291</v>
      </c>
      <c r="G515" s="35" t="s">
        <v>2073</v>
      </c>
      <c r="H515" s="32" t="s">
        <v>2074</v>
      </c>
      <c r="I515" s="33" t="s">
        <v>432</v>
      </c>
      <c r="J515" s="210"/>
      <c r="K515" s="250"/>
      <c r="L515" s="251"/>
      <c r="M515" s="252"/>
      <c r="N515" s="253"/>
      <c r="O515" s="252"/>
      <c r="P515" s="254"/>
      <c r="Q515" s="418"/>
      <c r="R515" s="419"/>
      <c r="S515" s="420"/>
      <c r="T515" s="421"/>
      <c r="U515" s="420"/>
      <c r="V515" s="422"/>
      <c r="W515" s="597"/>
      <c r="X515" s="598"/>
      <c r="Y515" s="599"/>
      <c r="Z515" s="600"/>
      <c r="AA515" s="599"/>
      <c r="AB515" s="601"/>
      <c r="AC515" s="781"/>
      <c r="AD515" s="782"/>
      <c r="AE515" s="783"/>
      <c r="AF515" s="784"/>
      <c r="AG515" s="783"/>
      <c r="AH515" s="957"/>
      <c r="AI515" s="916" t="s">
        <v>2075</v>
      </c>
    </row>
    <row r="516" spans="1:35" ht="60" x14ac:dyDescent="0.25">
      <c r="A516" s="41" t="s">
        <v>2076</v>
      </c>
      <c r="B516" s="42" t="s">
        <v>40</v>
      </c>
      <c r="C516" s="42" t="s">
        <v>2066</v>
      </c>
      <c r="D516" s="42" t="s">
        <v>2077</v>
      </c>
      <c r="E516" s="42"/>
      <c r="F516" s="43" t="s">
        <v>2077</v>
      </c>
      <c r="G516" s="44" t="s">
        <v>2077</v>
      </c>
      <c r="H516" s="41" t="s">
        <v>103</v>
      </c>
      <c r="I516" s="42" t="s">
        <v>83</v>
      </c>
      <c r="J516" s="211"/>
      <c r="K516" s="261">
        <v>4</v>
      </c>
      <c r="L516" s="262" t="s">
        <v>626</v>
      </c>
      <c r="M516" s="266">
        <f>(1051917/200000)-K516</f>
        <v>1.2595850000000004</v>
      </c>
      <c r="N516" s="267">
        <f>262979/200000</f>
        <v>1.3148949999999999</v>
      </c>
      <c r="O516" s="266">
        <f>(1051917/100000)-K516</f>
        <v>6.5191700000000008</v>
      </c>
      <c r="P516" s="268">
        <f>262979/100000</f>
        <v>2.6297899999999998</v>
      </c>
      <c r="Q516" s="431">
        <v>1</v>
      </c>
      <c r="R516" s="432" t="s">
        <v>627</v>
      </c>
      <c r="S516" s="442">
        <f>(578592/200000)-Q516</f>
        <v>1.89296</v>
      </c>
      <c r="T516" s="443">
        <f>578592/200000</f>
        <v>2.89296</v>
      </c>
      <c r="U516" s="442">
        <f>(578592/100000)-Q516</f>
        <v>4.78592</v>
      </c>
      <c r="V516" s="444">
        <f>578592/100000</f>
        <v>5.78592</v>
      </c>
      <c r="W516" s="611">
        <v>2</v>
      </c>
      <c r="X516" s="612" t="s">
        <v>148</v>
      </c>
      <c r="Y516" s="613">
        <f>(189789/200000)-W516</f>
        <v>-1.0510549999999999</v>
      </c>
      <c r="Z516" s="614">
        <f>94894/200000</f>
        <v>0.47447</v>
      </c>
      <c r="AA516" s="613">
        <f>(189789/100000)-W516</f>
        <v>-0.10210999999999992</v>
      </c>
      <c r="AB516" s="615">
        <f>94894/100000</f>
        <v>0.94894000000000001</v>
      </c>
      <c r="AC516" s="792">
        <v>1</v>
      </c>
      <c r="AD516" s="793" t="s">
        <v>150</v>
      </c>
      <c r="AE516" s="806">
        <f>(263509/200000)-AC516</f>
        <v>0.31754499999999997</v>
      </c>
      <c r="AF516" s="807">
        <f>263509/200000</f>
        <v>1.317545</v>
      </c>
      <c r="AG516" s="806">
        <f>(263509/100000)-AC516</f>
        <v>1.6350899999999999</v>
      </c>
      <c r="AH516" s="965">
        <f>263509/100000</f>
        <v>2.6350899999999999</v>
      </c>
      <c r="AI516" s="918" t="s">
        <v>2078</v>
      </c>
    </row>
    <row r="517" spans="1:35" ht="64.5" x14ac:dyDescent="0.25">
      <c r="A517" s="32" t="s">
        <v>2079</v>
      </c>
      <c r="B517" s="33" t="s">
        <v>40</v>
      </c>
      <c r="C517" s="33" t="s">
        <v>2066</v>
      </c>
      <c r="D517" s="33" t="s">
        <v>2080</v>
      </c>
      <c r="E517" s="33"/>
      <c r="F517" s="34" t="s">
        <v>1291</v>
      </c>
      <c r="G517" s="35" t="s">
        <v>2080</v>
      </c>
      <c r="H517" s="32" t="s">
        <v>613</v>
      </c>
      <c r="I517" s="33" t="s">
        <v>83</v>
      </c>
      <c r="J517" s="210"/>
      <c r="K517" s="250"/>
      <c r="L517" s="251"/>
      <c r="M517" s="252"/>
      <c r="N517" s="253"/>
      <c r="O517" s="252"/>
      <c r="P517" s="254"/>
      <c r="Q517" s="418"/>
      <c r="R517" s="419"/>
      <c r="S517" s="420"/>
      <c r="T517" s="421"/>
      <c r="U517" s="420"/>
      <c r="V517" s="422"/>
      <c r="W517" s="597"/>
      <c r="X517" s="598"/>
      <c r="Y517" s="599"/>
      <c r="Z517" s="600"/>
      <c r="AA517" s="599"/>
      <c r="AB517" s="601"/>
      <c r="AC517" s="781"/>
      <c r="AD517" s="782"/>
      <c r="AE517" s="783"/>
      <c r="AF517" s="784"/>
      <c r="AG517" s="783"/>
      <c r="AH517" s="957"/>
      <c r="AI517" s="916" t="s">
        <v>2081</v>
      </c>
    </row>
    <row r="518" spans="1:35" ht="26.25" x14ac:dyDescent="0.25">
      <c r="A518" s="32" t="s">
        <v>2082</v>
      </c>
      <c r="B518" s="33" t="s">
        <v>40</v>
      </c>
      <c r="C518" s="33" t="s">
        <v>2066</v>
      </c>
      <c r="D518" s="33" t="s">
        <v>2083</v>
      </c>
      <c r="E518" s="33"/>
      <c r="F518" s="34" t="s">
        <v>2084</v>
      </c>
      <c r="G518" s="35" t="s">
        <v>2083</v>
      </c>
      <c r="H518" s="32" t="s">
        <v>2085</v>
      </c>
      <c r="I518" s="33" t="s">
        <v>556</v>
      </c>
      <c r="J518" s="210"/>
      <c r="K518" s="250"/>
      <c r="L518" s="251"/>
      <c r="M518" s="252"/>
      <c r="N518" s="253"/>
      <c r="O518" s="252"/>
      <c r="P518" s="254"/>
      <c r="Q518" s="418"/>
      <c r="R518" s="419"/>
      <c r="S518" s="420"/>
      <c r="T518" s="421"/>
      <c r="U518" s="420"/>
      <c r="V518" s="422"/>
      <c r="W518" s="597"/>
      <c r="X518" s="598"/>
      <c r="Y518" s="599"/>
      <c r="Z518" s="600"/>
      <c r="AA518" s="599"/>
      <c r="AB518" s="601"/>
      <c r="AC518" s="781"/>
      <c r="AD518" s="782"/>
      <c r="AE518" s="783"/>
      <c r="AF518" s="784"/>
      <c r="AG518" s="783"/>
      <c r="AH518" s="957"/>
      <c r="AI518" s="916" t="s">
        <v>2086</v>
      </c>
    </row>
    <row r="519" spans="1:35" ht="26.25" x14ac:dyDescent="0.25">
      <c r="A519" s="18" t="s">
        <v>2087</v>
      </c>
      <c r="B519" s="19" t="s">
        <v>40</v>
      </c>
      <c r="C519" s="19" t="s">
        <v>2066</v>
      </c>
      <c r="D519" s="19" t="s">
        <v>2088</v>
      </c>
      <c r="E519" s="19" t="s">
        <v>2089</v>
      </c>
      <c r="F519" s="20"/>
      <c r="G519" s="21" t="s">
        <v>2090</v>
      </c>
      <c r="H519" s="18" t="s">
        <v>2091</v>
      </c>
      <c r="I519" s="19" t="s">
        <v>260</v>
      </c>
      <c r="J519" s="210"/>
      <c r="K519" s="250"/>
      <c r="L519" s="251"/>
      <c r="M519" s="252"/>
      <c r="N519" s="253"/>
      <c r="O519" s="252"/>
      <c r="P519" s="254"/>
      <c r="Q519" s="418"/>
      <c r="R519" s="419"/>
      <c r="S519" s="420"/>
      <c r="T519" s="421"/>
      <c r="U519" s="420"/>
      <c r="V519" s="422"/>
      <c r="W519" s="597"/>
      <c r="X519" s="598"/>
      <c r="Y519" s="599"/>
      <c r="Z519" s="600"/>
      <c r="AA519" s="599"/>
      <c r="AB519" s="601"/>
      <c r="AC519" s="781"/>
      <c r="AD519" s="782"/>
      <c r="AE519" s="783"/>
      <c r="AF519" s="784"/>
      <c r="AG519" s="783"/>
      <c r="AH519" s="957"/>
      <c r="AI519" s="913" t="s">
        <v>1165</v>
      </c>
    </row>
    <row r="520" spans="1:35" ht="26.25" x14ac:dyDescent="0.25">
      <c r="A520" s="18" t="s">
        <v>2092</v>
      </c>
      <c r="B520" s="19" t="s">
        <v>40</v>
      </c>
      <c r="C520" s="19" t="s">
        <v>2066</v>
      </c>
      <c r="D520" s="19" t="s">
        <v>2088</v>
      </c>
      <c r="E520" s="19" t="s">
        <v>2093</v>
      </c>
      <c r="F520" s="20"/>
      <c r="G520" s="21" t="s">
        <v>2094</v>
      </c>
      <c r="H520" s="18" t="s">
        <v>1030</v>
      </c>
      <c r="I520" s="19" t="s">
        <v>89</v>
      </c>
      <c r="J520" s="210"/>
      <c r="K520" s="250"/>
      <c r="L520" s="251"/>
      <c r="M520" s="252"/>
      <c r="N520" s="253"/>
      <c r="O520" s="252"/>
      <c r="P520" s="254"/>
      <c r="Q520" s="418"/>
      <c r="R520" s="419"/>
      <c r="S520" s="420"/>
      <c r="T520" s="421"/>
      <c r="U520" s="420"/>
      <c r="V520" s="422"/>
      <c r="W520" s="597"/>
      <c r="X520" s="598"/>
      <c r="Y520" s="599"/>
      <c r="Z520" s="600"/>
      <c r="AA520" s="599"/>
      <c r="AB520" s="601"/>
      <c r="AC520" s="781"/>
      <c r="AD520" s="782"/>
      <c r="AE520" s="783"/>
      <c r="AF520" s="784"/>
      <c r="AG520" s="783"/>
      <c r="AH520" s="957"/>
      <c r="AI520" s="913"/>
    </row>
    <row r="521" spans="1:35" ht="64.5" x14ac:dyDescent="0.25">
      <c r="A521" s="172" t="s">
        <v>2095</v>
      </c>
      <c r="B521" s="173" t="s">
        <v>40</v>
      </c>
      <c r="C521" s="173" t="s">
        <v>2066</v>
      </c>
      <c r="D521" s="173" t="s">
        <v>2088</v>
      </c>
      <c r="E521" s="173"/>
      <c r="F521" s="174" t="s">
        <v>1291</v>
      </c>
      <c r="G521" s="175" t="s">
        <v>2088</v>
      </c>
      <c r="H521" s="172" t="s">
        <v>2091</v>
      </c>
      <c r="I521" s="173" t="s">
        <v>260</v>
      </c>
      <c r="J521" s="210"/>
      <c r="K521" s="250"/>
      <c r="L521" s="251"/>
      <c r="M521" s="252"/>
      <c r="N521" s="253"/>
      <c r="O521" s="252"/>
      <c r="P521" s="254"/>
      <c r="Q521" s="418"/>
      <c r="R521" s="419"/>
      <c r="S521" s="420"/>
      <c r="T521" s="421"/>
      <c r="U521" s="420"/>
      <c r="V521" s="422"/>
      <c r="W521" s="597"/>
      <c r="X521" s="598"/>
      <c r="Y521" s="599"/>
      <c r="Z521" s="600"/>
      <c r="AA521" s="599"/>
      <c r="AB521" s="601"/>
      <c r="AC521" s="781"/>
      <c r="AD521" s="782"/>
      <c r="AE521" s="783"/>
      <c r="AF521" s="784"/>
      <c r="AG521" s="783"/>
      <c r="AH521" s="957"/>
      <c r="AI521" s="944" t="s">
        <v>843</v>
      </c>
    </row>
    <row r="522" spans="1:35" ht="64.5" x14ac:dyDescent="0.25">
      <c r="A522" s="32" t="s">
        <v>2096</v>
      </c>
      <c r="B522" s="33" t="s">
        <v>40</v>
      </c>
      <c r="C522" s="33" t="s">
        <v>2066</v>
      </c>
      <c r="D522" s="33" t="s">
        <v>2097</v>
      </c>
      <c r="E522" s="33"/>
      <c r="F522" s="34" t="s">
        <v>1291</v>
      </c>
      <c r="G522" s="35" t="s">
        <v>2097</v>
      </c>
      <c r="H522" s="32" t="s">
        <v>2098</v>
      </c>
      <c r="I522" s="33" t="s">
        <v>191</v>
      </c>
      <c r="J522" s="210"/>
      <c r="K522" s="250"/>
      <c r="L522" s="251"/>
      <c r="M522" s="252"/>
      <c r="N522" s="253"/>
      <c r="O522" s="252"/>
      <c r="P522" s="254"/>
      <c r="Q522" s="418"/>
      <c r="R522" s="419"/>
      <c r="S522" s="420"/>
      <c r="T522" s="421"/>
      <c r="U522" s="420"/>
      <c r="V522" s="422"/>
      <c r="W522" s="597"/>
      <c r="X522" s="598"/>
      <c r="Y522" s="599"/>
      <c r="Z522" s="600"/>
      <c r="AA522" s="599"/>
      <c r="AB522" s="601"/>
      <c r="AC522" s="781"/>
      <c r="AD522" s="782"/>
      <c r="AE522" s="783"/>
      <c r="AF522" s="784"/>
      <c r="AG522" s="783"/>
      <c r="AH522" s="957"/>
      <c r="AI522" s="916"/>
    </row>
    <row r="523" spans="1:35" ht="64.5" x14ac:dyDescent="0.25">
      <c r="A523" s="169" t="s">
        <v>2099</v>
      </c>
      <c r="B523" s="170" t="s">
        <v>40</v>
      </c>
      <c r="C523" s="170" t="s">
        <v>2066</v>
      </c>
      <c r="D523" s="170" t="s">
        <v>2100</v>
      </c>
      <c r="E523" s="170"/>
      <c r="F523" s="171" t="s">
        <v>2101</v>
      </c>
      <c r="G523" s="113" t="s">
        <v>1262</v>
      </c>
      <c r="H523" s="169"/>
      <c r="I523" s="170"/>
      <c r="J523" s="218"/>
      <c r="K523" s="313"/>
      <c r="L523" s="314"/>
      <c r="M523" s="362"/>
      <c r="N523" s="363"/>
      <c r="O523" s="362"/>
      <c r="P523" s="364"/>
      <c r="Q523" s="485"/>
      <c r="R523" s="486"/>
      <c r="S523" s="539"/>
      <c r="T523" s="540"/>
      <c r="U523" s="539"/>
      <c r="V523" s="541"/>
      <c r="W523" s="721"/>
      <c r="X523" s="673"/>
      <c r="Y523" s="722"/>
      <c r="Z523" s="723"/>
      <c r="AA523" s="722"/>
      <c r="AB523" s="724"/>
      <c r="AC523" s="875"/>
      <c r="AD523" s="837"/>
      <c r="AE523" s="876"/>
      <c r="AF523" s="877"/>
      <c r="AG523" s="876"/>
      <c r="AH523" s="984"/>
      <c r="AI523" s="943"/>
    </row>
    <row r="524" spans="1:35" ht="51.75" x14ac:dyDescent="0.25">
      <c r="A524" s="169" t="s">
        <v>2102</v>
      </c>
      <c r="B524" s="170" t="s">
        <v>40</v>
      </c>
      <c r="C524" s="170" t="s">
        <v>2066</v>
      </c>
      <c r="D524" s="170" t="s">
        <v>2100</v>
      </c>
      <c r="E524" s="170"/>
      <c r="F524" s="171" t="s">
        <v>2103</v>
      </c>
      <c r="G524" s="113" t="s">
        <v>1262</v>
      </c>
      <c r="H524" s="169"/>
      <c r="I524" s="170"/>
      <c r="J524" s="218"/>
      <c r="K524" s="313"/>
      <c r="L524" s="314"/>
      <c r="M524" s="362"/>
      <c r="N524" s="363"/>
      <c r="O524" s="362"/>
      <c r="P524" s="364"/>
      <c r="Q524" s="485"/>
      <c r="R524" s="486"/>
      <c r="S524" s="539"/>
      <c r="T524" s="540"/>
      <c r="U524" s="539"/>
      <c r="V524" s="541"/>
      <c r="W524" s="721"/>
      <c r="X524" s="673"/>
      <c r="Y524" s="722"/>
      <c r="Z524" s="723"/>
      <c r="AA524" s="722"/>
      <c r="AB524" s="724"/>
      <c r="AC524" s="875"/>
      <c r="AD524" s="837"/>
      <c r="AE524" s="876"/>
      <c r="AF524" s="877"/>
      <c r="AG524" s="876"/>
      <c r="AH524" s="984"/>
      <c r="AI524" s="943"/>
    </row>
    <row r="525" spans="1:35" ht="51.75" x14ac:dyDescent="0.25">
      <c r="A525" s="110" t="s">
        <v>2104</v>
      </c>
      <c r="B525" s="111" t="s">
        <v>40</v>
      </c>
      <c r="C525" s="111" t="s">
        <v>2066</v>
      </c>
      <c r="D525" s="111" t="s">
        <v>2100</v>
      </c>
      <c r="E525" s="111"/>
      <c r="F525" s="112" t="s">
        <v>2105</v>
      </c>
      <c r="G525" s="113" t="s">
        <v>1262</v>
      </c>
      <c r="H525" s="110"/>
      <c r="I525" s="111"/>
      <c r="J525" s="210"/>
      <c r="K525" s="250">
        <v>1</v>
      </c>
      <c r="L525" s="251" t="s">
        <v>344</v>
      </c>
      <c r="M525" s="279">
        <f>(1051917/30000)-K525</f>
        <v>34.063899999999997</v>
      </c>
      <c r="N525" s="280">
        <f>1051917/30000</f>
        <v>35.063899999999997</v>
      </c>
      <c r="O525" s="279">
        <f>(1051917/20000)-K525</f>
        <v>51.595849999999999</v>
      </c>
      <c r="P525" s="281">
        <f>1051917/20000</f>
        <v>52.595849999999999</v>
      </c>
      <c r="Q525" s="418">
        <v>1</v>
      </c>
      <c r="R525" s="419" t="s">
        <v>2106</v>
      </c>
      <c r="S525" s="439">
        <f>(578592/30000)-Q525</f>
        <v>18.2864</v>
      </c>
      <c r="T525" s="440">
        <f>578592/30000</f>
        <v>19.2864</v>
      </c>
      <c r="U525" s="439">
        <f>(578592/20000)-Q525</f>
        <v>27.929600000000001</v>
      </c>
      <c r="V525" s="441">
        <f>578592/20000</f>
        <v>28.929600000000001</v>
      </c>
      <c r="W525" s="617">
        <v>0</v>
      </c>
      <c r="X525" s="598" t="s">
        <v>61</v>
      </c>
      <c r="Y525" s="644">
        <f>(189789/30000)-W525</f>
        <v>6.3262999999999998</v>
      </c>
      <c r="Z525" s="645" t="s">
        <v>61</v>
      </c>
      <c r="AA525" s="644">
        <f>(189789/20000)-W525</f>
        <v>9.4894499999999997</v>
      </c>
      <c r="AB525" s="646" t="s">
        <v>61</v>
      </c>
      <c r="AC525" s="796">
        <v>0</v>
      </c>
      <c r="AD525" s="782" t="s">
        <v>61</v>
      </c>
      <c r="AE525" s="804">
        <f>(263509/30000)-AC525</f>
        <v>8.7836333333333325</v>
      </c>
      <c r="AF525" s="805" t="s">
        <v>61</v>
      </c>
      <c r="AG525" s="804">
        <f>(263509/20000)-AC525</f>
        <v>13.17545</v>
      </c>
      <c r="AH525" s="964" t="s">
        <v>61</v>
      </c>
      <c r="AI525" s="931"/>
    </row>
    <row r="526" spans="1:35" ht="26.25" x14ac:dyDescent="0.25">
      <c r="A526" s="37" t="s">
        <v>2107</v>
      </c>
      <c r="B526" s="38" t="s">
        <v>40</v>
      </c>
      <c r="C526" s="38" t="s">
        <v>2066</v>
      </c>
      <c r="D526" s="38" t="s">
        <v>2100</v>
      </c>
      <c r="E526" s="38"/>
      <c r="F526" s="39" t="s">
        <v>2100</v>
      </c>
      <c r="G526" s="40" t="s">
        <v>2100</v>
      </c>
      <c r="H526" s="37"/>
      <c r="I526" s="38"/>
      <c r="J526" s="210"/>
      <c r="K526" s="250">
        <v>161</v>
      </c>
      <c r="L526" s="251" t="s">
        <v>2108</v>
      </c>
      <c r="M526" s="286">
        <f>(1051917/30000)-K526</f>
        <v>-125.93610000000001</v>
      </c>
      <c r="N526" s="287">
        <f>6534/30000</f>
        <v>0.21779999999999999</v>
      </c>
      <c r="O526" s="286">
        <f>(1051917/20000)-K526</f>
        <v>-108.40415</v>
      </c>
      <c r="P526" s="288">
        <f>6534/20000</f>
        <v>0.32669999999999999</v>
      </c>
      <c r="Q526" s="418">
        <v>74</v>
      </c>
      <c r="R526" s="419" t="s">
        <v>2109</v>
      </c>
      <c r="S526" s="492">
        <f>(578592/30000)-Q526</f>
        <v>-54.7136</v>
      </c>
      <c r="T526" s="493">
        <f>7819/30000</f>
        <v>0.26063333333333333</v>
      </c>
      <c r="U526" s="492">
        <f>(578592/20000)-Q526</f>
        <v>-45.070399999999999</v>
      </c>
      <c r="V526" s="494">
        <f>7819/20000</f>
        <v>0.39095000000000002</v>
      </c>
      <c r="W526" s="597">
        <v>39</v>
      </c>
      <c r="X526" s="598" t="s">
        <v>2110</v>
      </c>
      <c r="Y526" s="647">
        <f>(189789/30000)-W526</f>
        <v>-32.673699999999997</v>
      </c>
      <c r="Z526" s="648">
        <f>4866/30000</f>
        <v>0.16220000000000001</v>
      </c>
      <c r="AA526" s="647">
        <f>(189789/20000)-W526</f>
        <v>-29.510550000000002</v>
      </c>
      <c r="AB526" s="649">
        <f>4866/20000</f>
        <v>0.24329999999999999</v>
      </c>
      <c r="AC526" s="781">
        <v>48</v>
      </c>
      <c r="AD526" s="782" t="s">
        <v>2111</v>
      </c>
      <c r="AE526" s="878">
        <f>(263509/30000)-AC526</f>
        <v>-39.216366666666666</v>
      </c>
      <c r="AF526" s="879">
        <f>5490/30000</f>
        <v>0.183</v>
      </c>
      <c r="AG526" s="878">
        <f>(263509/20000)-AC526</f>
        <v>-34.824550000000002</v>
      </c>
      <c r="AH526" s="985">
        <f>5490/20000</f>
        <v>0.27450000000000002</v>
      </c>
      <c r="AI526" s="917" t="s">
        <v>2112</v>
      </c>
    </row>
    <row r="527" spans="1:35" ht="30" x14ac:dyDescent="0.25">
      <c r="A527" s="41" t="s">
        <v>2107</v>
      </c>
      <c r="B527" s="42" t="s">
        <v>40</v>
      </c>
      <c r="C527" s="42" t="s">
        <v>2066</v>
      </c>
      <c r="D527" s="42" t="s">
        <v>2100</v>
      </c>
      <c r="E527" s="42"/>
      <c r="F527" s="43" t="s">
        <v>72</v>
      </c>
      <c r="G527" s="44" t="s">
        <v>2100</v>
      </c>
      <c r="H527" s="41" t="s">
        <v>2098</v>
      </c>
      <c r="I527" s="42" t="s">
        <v>191</v>
      </c>
      <c r="J527" s="211"/>
      <c r="K527" s="261">
        <v>162</v>
      </c>
      <c r="L527" s="262" t="s">
        <v>2113</v>
      </c>
      <c r="M527" s="263">
        <f>(1051917/30000)-K527</f>
        <v>-126.93610000000001</v>
      </c>
      <c r="N527" s="264">
        <f>6493/30000</f>
        <v>0.21643333333333334</v>
      </c>
      <c r="O527" s="263">
        <f>(1051917/20000)-K527</f>
        <v>-109.40415</v>
      </c>
      <c r="P527" s="265">
        <f>6493/20000</f>
        <v>0.32464999999999999</v>
      </c>
      <c r="Q527" s="431">
        <v>75</v>
      </c>
      <c r="R527" s="432" t="s">
        <v>2114</v>
      </c>
      <c r="S527" s="433">
        <f>(578592/30000)-Q527</f>
        <v>-55.7136</v>
      </c>
      <c r="T527" s="434">
        <f>7715/30000</f>
        <v>0.25716666666666665</v>
      </c>
      <c r="U527" s="433">
        <f>(578592/20000)-Q527</f>
        <v>-46.070399999999999</v>
      </c>
      <c r="V527" s="435">
        <f>7715/20000</f>
        <v>0.38574999999999998</v>
      </c>
      <c r="W527" s="611">
        <v>39</v>
      </c>
      <c r="X527" s="612" t="s">
        <v>2110</v>
      </c>
      <c r="Y527" s="613">
        <f>(189789/30000)-W527</f>
        <v>-32.673699999999997</v>
      </c>
      <c r="Z527" s="614">
        <v>0.16220000000000001</v>
      </c>
      <c r="AA527" s="613">
        <f>(189789/20000)-W527</f>
        <v>-29.510550000000002</v>
      </c>
      <c r="AB527" s="615">
        <v>0.24329999999999999</v>
      </c>
      <c r="AC527" s="792">
        <v>48</v>
      </c>
      <c r="AD527" s="793" t="s">
        <v>2111</v>
      </c>
      <c r="AE527" s="794">
        <f>(263509/30000)-AC527</f>
        <v>-39.216366666666666</v>
      </c>
      <c r="AF527" s="795">
        <v>0.183</v>
      </c>
      <c r="AG527" s="794">
        <f>(263509/20000)-AC527</f>
        <v>-34.824550000000002</v>
      </c>
      <c r="AH527" s="959">
        <v>0.27450000000000002</v>
      </c>
      <c r="AI527" s="945"/>
    </row>
    <row r="528" spans="1:35" ht="51.75" x14ac:dyDescent="0.25">
      <c r="A528" s="118" t="s">
        <v>2115</v>
      </c>
      <c r="B528" s="119" t="s">
        <v>40</v>
      </c>
      <c r="C528" s="119" t="s">
        <v>2066</v>
      </c>
      <c r="D528" s="119" t="s">
        <v>2116</v>
      </c>
      <c r="E528" s="119"/>
      <c r="F528" s="112" t="s">
        <v>2117</v>
      </c>
      <c r="G528" s="113" t="s">
        <v>1262</v>
      </c>
      <c r="H528" s="118"/>
      <c r="I528" s="119"/>
      <c r="J528" s="214"/>
      <c r="K528" s="289"/>
      <c r="L528" s="290"/>
      <c r="M528" s="258"/>
      <c r="N528" s="259"/>
      <c r="O528" s="258"/>
      <c r="P528" s="260"/>
      <c r="Q528" s="423"/>
      <c r="R528" s="424"/>
      <c r="S528" s="428"/>
      <c r="T528" s="429"/>
      <c r="U528" s="428"/>
      <c r="V528" s="430"/>
      <c r="W528" s="602"/>
      <c r="X528" s="603"/>
      <c r="Y528" s="604"/>
      <c r="Z528" s="605"/>
      <c r="AA528" s="604"/>
      <c r="AB528" s="606"/>
      <c r="AC528" s="789"/>
      <c r="AD528" s="786"/>
      <c r="AE528" s="790"/>
      <c r="AF528" s="791"/>
      <c r="AG528" s="790"/>
      <c r="AH528" s="958"/>
      <c r="AI528" s="932"/>
    </row>
    <row r="529" spans="1:35" ht="45" x14ac:dyDescent="0.25">
      <c r="A529" s="41" t="s">
        <v>2118</v>
      </c>
      <c r="B529" s="42" t="s">
        <v>40</v>
      </c>
      <c r="C529" s="42" t="s">
        <v>2066</v>
      </c>
      <c r="D529" s="42" t="s">
        <v>2116</v>
      </c>
      <c r="E529" s="42"/>
      <c r="F529" s="43" t="s">
        <v>2119</v>
      </c>
      <c r="G529" s="44" t="s">
        <v>2120</v>
      </c>
      <c r="H529" s="41" t="s">
        <v>2121</v>
      </c>
      <c r="I529" s="42" t="s">
        <v>46</v>
      </c>
      <c r="J529" s="211"/>
      <c r="K529" s="261">
        <v>36</v>
      </c>
      <c r="L529" s="262" t="s">
        <v>1255</v>
      </c>
      <c r="M529" s="263">
        <f>(1051917/50000)-K529</f>
        <v>-14.961659999999998</v>
      </c>
      <c r="N529" s="264">
        <f>29219/50000</f>
        <v>0.58438000000000001</v>
      </c>
      <c r="O529" s="293"/>
      <c r="P529" s="294"/>
      <c r="Q529" s="431">
        <v>31</v>
      </c>
      <c r="R529" s="432" t="s">
        <v>2122</v>
      </c>
      <c r="S529" s="433">
        <f>(578592/50000)-Q529</f>
        <v>-19.428159999999998</v>
      </c>
      <c r="T529" s="434">
        <f>18664/50000</f>
        <v>0.37328</v>
      </c>
      <c r="U529" s="433"/>
      <c r="V529" s="435"/>
      <c r="W529" s="611">
        <v>1</v>
      </c>
      <c r="X529" s="612" t="s">
        <v>739</v>
      </c>
      <c r="Y529" s="627">
        <f>(189789/50000)-W529</f>
        <v>2.7957800000000002</v>
      </c>
      <c r="Z529" s="642">
        <f>189789/50000</f>
        <v>3.7957800000000002</v>
      </c>
      <c r="AA529" s="652"/>
      <c r="AB529" s="616"/>
      <c r="AC529" s="792">
        <v>4</v>
      </c>
      <c r="AD529" s="793" t="s">
        <v>730</v>
      </c>
      <c r="AE529" s="799">
        <f>(263509/50000)-AC529</f>
        <v>1.2701799999999999</v>
      </c>
      <c r="AF529" s="817">
        <f>65877/50000</f>
        <v>1.3175399999999999</v>
      </c>
      <c r="AG529" s="820"/>
      <c r="AH529" s="960"/>
      <c r="AI529" s="918" t="s">
        <v>2123</v>
      </c>
    </row>
    <row r="530" spans="1:35" ht="64.5" x14ac:dyDescent="0.25">
      <c r="A530" s="32" t="s">
        <v>2124</v>
      </c>
      <c r="B530" s="33" t="s">
        <v>40</v>
      </c>
      <c r="C530" s="33" t="s">
        <v>2066</v>
      </c>
      <c r="D530" s="33" t="s">
        <v>2125</v>
      </c>
      <c r="E530" s="33"/>
      <c r="F530" s="34" t="s">
        <v>1291</v>
      </c>
      <c r="G530" s="35" t="s">
        <v>2125</v>
      </c>
      <c r="H530" s="32" t="s">
        <v>1313</v>
      </c>
      <c r="I530" s="33" t="s">
        <v>556</v>
      </c>
      <c r="J530" s="210"/>
      <c r="K530" s="250"/>
      <c r="L530" s="251"/>
      <c r="M530" s="252"/>
      <c r="N530" s="253"/>
      <c r="O530" s="252"/>
      <c r="P530" s="254"/>
      <c r="Q530" s="418"/>
      <c r="R530" s="419"/>
      <c r="S530" s="420"/>
      <c r="T530" s="421"/>
      <c r="U530" s="420"/>
      <c r="V530" s="422"/>
      <c r="W530" s="597"/>
      <c r="X530" s="598"/>
      <c r="Y530" s="599"/>
      <c r="Z530" s="600"/>
      <c r="AA530" s="599"/>
      <c r="AB530" s="601"/>
      <c r="AC530" s="781"/>
      <c r="AD530" s="782"/>
      <c r="AE530" s="783"/>
      <c r="AF530" s="784"/>
      <c r="AG530" s="783"/>
      <c r="AH530" s="957"/>
      <c r="AI530" s="916" t="s">
        <v>2126</v>
      </c>
    </row>
    <row r="531" spans="1:35" ht="64.5" x14ac:dyDescent="0.25">
      <c r="A531" s="32" t="s">
        <v>2127</v>
      </c>
      <c r="B531" s="33" t="s">
        <v>40</v>
      </c>
      <c r="C531" s="33" t="s">
        <v>2066</v>
      </c>
      <c r="D531" s="33" t="s">
        <v>2128</v>
      </c>
      <c r="E531" s="33"/>
      <c r="F531" s="34" t="s">
        <v>1291</v>
      </c>
      <c r="G531" s="35" t="s">
        <v>2128</v>
      </c>
      <c r="H531" s="32" t="s">
        <v>2129</v>
      </c>
      <c r="I531" s="33" t="s">
        <v>556</v>
      </c>
      <c r="J531" s="210"/>
      <c r="K531" s="250"/>
      <c r="L531" s="251"/>
      <c r="M531" s="252"/>
      <c r="N531" s="253"/>
      <c r="O531" s="252"/>
      <c r="P531" s="254"/>
      <c r="Q531" s="418"/>
      <c r="R531" s="419"/>
      <c r="S531" s="420"/>
      <c r="T531" s="421"/>
      <c r="U531" s="420"/>
      <c r="V531" s="422"/>
      <c r="W531" s="597"/>
      <c r="X531" s="598"/>
      <c r="Y531" s="599"/>
      <c r="Z531" s="600"/>
      <c r="AA531" s="599"/>
      <c r="AB531" s="601"/>
      <c r="AC531" s="781"/>
      <c r="AD531" s="782"/>
      <c r="AE531" s="783"/>
      <c r="AF531" s="784"/>
      <c r="AG531" s="783"/>
      <c r="AH531" s="957"/>
      <c r="AI531" s="916" t="s">
        <v>2022</v>
      </c>
    </row>
    <row r="532" spans="1:35" ht="75" x14ac:dyDescent="0.25">
      <c r="A532" s="41" t="s">
        <v>2130</v>
      </c>
      <c r="B532" s="42" t="s">
        <v>40</v>
      </c>
      <c r="C532" s="42" t="s">
        <v>2066</v>
      </c>
      <c r="D532" s="42" t="s">
        <v>2131</v>
      </c>
      <c r="E532" s="42"/>
      <c r="F532" s="43" t="s">
        <v>2132</v>
      </c>
      <c r="G532" s="44" t="s">
        <v>2131</v>
      </c>
      <c r="H532" s="41" t="s">
        <v>952</v>
      </c>
      <c r="I532" s="42" t="s">
        <v>83</v>
      </c>
      <c r="J532" s="211"/>
      <c r="K532" s="261">
        <v>31</v>
      </c>
      <c r="L532" s="262" t="s">
        <v>1109</v>
      </c>
      <c r="M532" s="263">
        <f>(1051917/200000)-K532</f>
        <v>-25.740414999999999</v>
      </c>
      <c r="N532" s="264">
        <f>33932/200000</f>
        <v>0.16966000000000001</v>
      </c>
      <c r="O532" s="263">
        <f>(1051917/100000)-K532</f>
        <v>-20.480829999999997</v>
      </c>
      <c r="P532" s="265">
        <f>33932/100000</f>
        <v>0.33932000000000001</v>
      </c>
      <c r="Q532" s="431">
        <v>22</v>
      </c>
      <c r="R532" s="432" t="s">
        <v>983</v>
      </c>
      <c r="S532" s="433">
        <f>(578592/200000)-Q532</f>
        <v>-19.107040000000001</v>
      </c>
      <c r="T532" s="434">
        <f>26299/200000</f>
        <v>0.131495</v>
      </c>
      <c r="U532" s="433">
        <f>(578592/100000)-Q532</f>
        <v>-16.214079999999999</v>
      </c>
      <c r="V532" s="435">
        <f>26299/100000</f>
        <v>0.26299</v>
      </c>
      <c r="W532" s="641">
        <v>0</v>
      </c>
      <c r="X532" s="612" t="s">
        <v>61</v>
      </c>
      <c r="Y532" s="627">
        <f>(189789/200000)</f>
        <v>0.94894500000000004</v>
      </c>
      <c r="Z532" s="642" t="s">
        <v>61</v>
      </c>
      <c r="AA532" s="627">
        <f>(189789/100000)-W532</f>
        <v>1.8978900000000001</v>
      </c>
      <c r="AB532" s="643" t="s">
        <v>61</v>
      </c>
      <c r="AC532" s="792">
        <v>9</v>
      </c>
      <c r="AD532" s="793" t="s">
        <v>2133</v>
      </c>
      <c r="AE532" s="794">
        <f>(263509/200000)-AC532</f>
        <v>-7.682455</v>
      </c>
      <c r="AF532" s="795">
        <f>29279/200000</f>
        <v>0.146395</v>
      </c>
      <c r="AG532" s="794">
        <f>(263509/100000)-AC532</f>
        <v>-6.3649100000000001</v>
      </c>
      <c r="AH532" s="959">
        <f>29279/100000</f>
        <v>0.29278999999999999</v>
      </c>
      <c r="AI532" s="918" t="s">
        <v>2134</v>
      </c>
    </row>
    <row r="533" spans="1:35" ht="26.25" x14ac:dyDescent="0.25">
      <c r="A533" s="32" t="s">
        <v>2135</v>
      </c>
      <c r="B533" s="33" t="s">
        <v>40</v>
      </c>
      <c r="C533" s="33" t="s">
        <v>2066</v>
      </c>
      <c r="D533" s="33" t="s">
        <v>2136</v>
      </c>
      <c r="E533" s="33"/>
      <c r="F533" s="34"/>
      <c r="G533" s="35" t="s">
        <v>2136</v>
      </c>
      <c r="H533" s="32" t="s">
        <v>2091</v>
      </c>
      <c r="I533" s="33" t="s">
        <v>89</v>
      </c>
      <c r="J533" s="210"/>
      <c r="K533" s="250"/>
      <c r="L533" s="251"/>
      <c r="M533" s="252"/>
      <c r="N533" s="253"/>
      <c r="O533" s="252"/>
      <c r="P533" s="254"/>
      <c r="Q533" s="418"/>
      <c r="R533" s="419"/>
      <c r="S533" s="420"/>
      <c r="T533" s="421"/>
      <c r="U533" s="420"/>
      <c r="V533" s="422"/>
      <c r="W533" s="597"/>
      <c r="X533" s="598"/>
      <c r="Y533" s="599"/>
      <c r="Z533" s="600"/>
      <c r="AA533" s="599"/>
      <c r="AB533" s="601"/>
      <c r="AC533" s="781"/>
      <c r="AD533" s="782"/>
      <c r="AE533" s="783"/>
      <c r="AF533" s="784"/>
      <c r="AG533" s="783"/>
      <c r="AH533" s="957"/>
      <c r="AI533" s="916" t="s">
        <v>2138</v>
      </c>
    </row>
    <row r="534" spans="1:35" ht="26.25" x14ac:dyDescent="0.25">
      <c r="A534" s="32" t="s">
        <v>2139</v>
      </c>
      <c r="B534" s="33" t="s">
        <v>40</v>
      </c>
      <c r="C534" s="33" t="s">
        <v>2066</v>
      </c>
      <c r="D534" s="33" t="s">
        <v>2140</v>
      </c>
      <c r="E534" s="33"/>
      <c r="F534" s="34"/>
      <c r="G534" s="35" t="s">
        <v>2141</v>
      </c>
      <c r="H534" s="32" t="s">
        <v>1362</v>
      </c>
      <c r="I534" s="33" t="s">
        <v>432</v>
      </c>
      <c r="J534" s="210"/>
      <c r="K534" s="250"/>
      <c r="L534" s="251"/>
      <c r="M534" s="252"/>
      <c r="N534" s="253"/>
      <c r="O534" s="252"/>
      <c r="P534" s="254"/>
      <c r="Q534" s="418"/>
      <c r="R534" s="419"/>
      <c r="S534" s="420"/>
      <c r="T534" s="421"/>
      <c r="U534" s="420"/>
      <c r="V534" s="422"/>
      <c r="W534" s="597"/>
      <c r="X534" s="598"/>
      <c r="Y534" s="599"/>
      <c r="Z534" s="600"/>
      <c r="AA534" s="599"/>
      <c r="AB534" s="601"/>
      <c r="AC534" s="781"/>
      <c r="AD534" s="782"/>
      <c r="AE534" s="783"/>
      <c r="AF534" s="784"/>
      <c r="AG534" s="783"/>
      <c r="AH534" s="957"/>
      <c r="AI534" s="916" t="s">
        <v>2081</v>
      </c>
    </row>
    <row r="535" spans="1:35" ht="26.25" x14ac:dyDescent="0.25">
      <c r="A535" s="176" t="s">
        <v>2142</v>
      </c>
      <c r="B535" s="177" t="s">
        <v>40</v>
      </c>
      <c r="C535" s="177" t="s">
        <v>2066</v>
      </c>
      <c r="D535" s="177" t="s">
        <v>472</v>
      </c>
      <c r="E535" s="177"/>
      <c r="F535" s="178"/>
      <c r="G535" s="179" t="s">
        <v>472</v>
      </c>
      <c r="H535" s="176" t="s">
        <v>613</v>
      </c>
      <c r="I535" s="177" t="s">
        <v>73</v>
      </c>
      <c r="J535" s="227"/>
      <c r="K535" s="365"/>
      <c r="L535" s="366"/>
      <c r="M535" s="367"/>
      <c r="N535" s="368"/>
      <c r="O535" s="367"/>
      <c r="P535" s="369"/>
      <c r="Q535" s="542"/>
      <c r="R535" s="543"/>
      <c r="S535" s="544"/>
      <c r="T535" s="545"/>
      <c r="U535" s="544"/>
      <c r="V535" s="546"/>
      <c r="W535" s="725"/>
      <c r="X535" s="726"/>
      <c r="Y535" s="727"/>
      <c r="Z535" s="728"/>
      <c r="AA535" s="727"/>
      <c r="AB535" s="729"/>
      <c r="AC535" s="880"/>
      <c r="AD535" s="881"/>
      <c r="AE535" s="882"/>
      <c r="AF535" s="883"/>
      <c r="AG535" s="882"/>
      <c r="AH535" s="986"/>
      <c r="AI535" s="946" t="s">
        <v>1797</v>
      </c>
    </row>
    <row r="536" spans="1:35" ht="26.25" x14ac:dyDescent="0.25">
      <c r="A536" s="176" t="s">
        <v>2143</v>
      </c>
      <c r="B536" s="177" t="s">
        <v>40</v>
      </c>
      <c r="C536" s="177" t="s">
        <v>2066</v>
      </c>
      <c r="D536" s="177" t="s">
        <v>2144</v>
      </c>
      <c r="E536" s="177"/>
      <c r="F536" s="178"/>
      <c r="G536" s="179" t="s">
        <v>2144</v>
      </c>
      <c r="H536" s="176" t="s">
        <v>464</v>
      </c>
      <c r="I536" s="177" t="s">
        <v>432</v>
      </c>
      <c r="J536" s="227"/>
      <c r="K536" s="365"/>
      <c r="L536" s="366"/>
      <c r="M536" s="367"/>
      <c r="N536" s="368"/>
      <c r="O536" s="367"/>
      <c r="P536" s="369"/>
      <c r="Q536" s="542"/>
      <c r="R536" s="543"/>
      <c r="S536" s="544"/>
      <c r="T536" s="545"/>
      <c r="U536" s="544"/>
      <c r="V536" s="546"/>
      <c r="W536" s="725"/>
      <c r="X536" s="726"/>
      <c r="Y536" s="727"/>
      <c r="Z536" s="728"/>
      <c r="AA536" s="727"/>
      <c r="AB536" s="729"/>
      <c r="AC536" s="880"/>
      <c r="AD536" s="881"/>
      <c r="AE536" s="882"/>
      <c r="AF536" s="883"/>
      <c r="AG536" s="882"/>
      <c r="AH536" s="986"/>
      <c r="AI536" s="946" t="s">
        <v>2145</v>
      </c>
    </row>
    <row r="537" spans="1:35" ht="51.75" x14ac:dyDescent="0.25">
      <c r="A537" s="118" t="s">
        <v>2146</v>
      </c>
      <c r="B537" s="119" t="s">
        <v>40</v>
      </c>
      <c r="C537" s="119" t="s">
        <v>2066</v>
      </c>
      <c r="D537" s="119" t="s">
        <v>2147</v>
      </c>
      <c r="E537" s="119"/>
      <c r="F537" s="112" t="s">
        <v>2117</v>
      </c>
      <c r="G537" s="113" t="s">
        <v>1262</v>
      </c>
      <c r="H537" s="118"/>
      <c r="I537" s="119"/>
      <c r="J537" s="214"/>
      <c r="K537" s="289"/>
      <c r="L537" s="290"/>
      <c r="M537" s="258"/>
      <c r="N537" s="259"/>
      <c r="O537" s="291"/>
      <c r="P537" s="292"/>
      <c r="Q537" s="423"/>
      <c r="R537" s="424"/>
      <c r="S537" s="428"/>
      <c r="T537" s="429"/>
      <c r="U537" s="428"/>
      <c r="V537" s="430"/>
      <c r="W537" s="607"/>
      <c r="X537" s="603"/>
      <c r="Y537" s="604"/>
      <c r="Z537" s="605"/>
      <c r="AA537" s="650"/>
      <c r="AB537" s="651"/>
      <c r="AC537" s="789"/>
      <c r="AD537" s="786"/>
      <c r="AE537" s="787"/>
      <c r="AF537" s="788"/>
      <c r="AG537" s="819"/>
      <c r="AH537" s="969"/>
      <c r="AI537" s="932"/>
    </row>
    <row r="538" spans="1:35" ht="45" x14ac:dyDescent="0.25">
      <c r="A538" s="41" t="s">
        <v>2148</v>
      </c>
      <c r="B538" s="42" t="s">
        <v>40</v>
      </c>
      <c r="C538" s="42" t="s">
        <v>2066</v>
      </c>
      <c r="D538" s="42" t="s">
        <v>2147</v>
      </c>
      <c r="E538" s="42"/>
      <c r="F538" s="43" t="s">
        <v>2119</v>
      </c>
      <c r="G538" s="44" t="s">
        <v>500</v>
      </c>
      <c r="H538" s="41" t="s">
        <v>51</v>
      </c>
      <c r="I538" s="42" t="s">
        <v>89</v>
      </c>
      <c r="J538" s="211"/>
      <c r="K538" s="261"/>
      <c r="L538" s="262"/>
      <c r="M538" s="293"/>
      <c r="N538" s="343"/>
      <c r="O538" s="293"/>
      <c r="P538" s="294"/>
      <c r="Q538" s="431"/>
      <c r="R538" s="432"/>
      <c r="S538" s="465"/>
      <c r="T538" s="518"/>
      <c r="U538" s="465"/>
      <c r="V538" s="466"/>
      <c r="W538" s="611"/>
      <c r="X538" s="612"/>
      <c r="Y538" s="652"/>
      <c r="Z538" s="702"/>
      <c r="AA538" s="652"/>
      <c r="AB538" s="616"/>
      <c r="AC538" s="792"/>
      <c r="AD538" s="793"/>
      <c r="AE538" s="820"/>
      <c r="AF538" s="860"/>
      <c r="AG538" s="820"/>
      <c r="AH538" s="960"/>
      <c r="AI538" s="918" t="s">
        <v>2149</v>
      </c>
    </row>
    <row r="539" spans="1:35" ht="51.75" x14ac:dyDescent="0.25">
      <c r="A539" s="110" t="s">
        <v>2150</v>
      </c>
      <c r="B539" s="111" t="s">
        <v>40</v>
      </c>
      <c r="C539" s="111" t="s">
        <v>2066</v>
      </c>
      <c r="D539" s="111" t="s">
        <v>2151</v>
      </c>
      <c r="E539" s="111"/>
      <c r="F539" s="112" t="s">
        <v>2152</v>
      </c>
      <c r="G539" s="113" t="s">
        <v>1262</v>
      </c>
      <c r="H539" s="110"/>
      <c r="I539" s="111"/>
      <c r="J539" s="210"/>
      <c r="K539" s="250"/>
      <c r="L539" s="251"/>
      <c r="M539" s="252"/>
      <c r="N539" s="253"/>
      <c r="O539" s="252"/>
      <c r="P539" s="254"/>
      <c r="Q539" s="418"/>
      <c r="R539" s="419"/>
      <c r="S539" s="420"/>
      <c r="T539" s="421"/>
      <c r="U539" s="420"/>
      <c r="V539" s="422"/>
      <c r="W539" s="597"/>
      <c r="X539" s="598"/>
      <c r="Y539" s="599"/>
      <c r="Z539" s="600"/>
      <c r="AA539" s="599"/>
      <c r="AB539" s="601"/>
      <c r="AC539" s="781"/>
      <c r="AD539" s="782"/>
      <c r="AE539" s="783"/>
      <c r="AF539" s="784"/>
      <c r="AG539" s="783"/>
      <c r="AH539" s="957"/>
      <c r="AI539" s="931"/>
    </row>
    <row r="540" spans="1:35" x14ac:dyDescent="0.25">
      <c r="A540" s="37" t="s">
        <v>2153</v>
      </c>
      <c r="B540" s="38" t="s">
        <v>40</v>
      </c>
      <c r="C540" s="38" t="s">
        <v>2066</v>
      </c>
      <c r="D540" s="38" t="s">
        <v>2151</v>
      </c>
      <c r="E540" s="38"/>
      <c r="F540" s="39" t="s">
        <v>2154</v>
      </c>
      <c r="G540" s="40" t="s">
        <v>2155</v>
      </c>
      <c r="H540" s="37"/>
      <c r="I540" s="38"/>
      <c r="J540" s="210"/>
      <c r="K540" s="250"/>
      <c r="L540" s="251"/>
      <c r="M540" s="252"/>
      <c r="N540" s="253"/>
      <c r="O540" s="252"/>
      <c r="P540" s="254"/>
      <c r="Q540" s="418"/>
      <c r="R540" s="419"/>
      <c r="S540" s="420"/>
      <c r="T540" s="421"/>
      <c r="U540" s="420"/>
      <c r="V540" s="422"/>
      <c r="W540" s="597"/>
      <c r="X540" s="598"/>
      <c r="Y540" s="599"/>
      <c r="Z540" s="600"/>
      <c r="AA540" s="599"/>
      <c r="AB540" s="601"/>
      <c r="AC540" s="781"/>
      <c r="AD540" s="782"/>
      <c r="AE540" s="783"/>
      <c r="AF540" s="784"/>
      <c r="AG540" s="783"/>
      <c r="AH540" s="957"/>
      <c r="AI540" s="917"/>
    </row>
    <row r="541" spans="1:35" ht="30" x14ac:dyDescent="0.25">
      <c r="A541" s="41" t="s">
        <v>2153</v>
      </c>
      <c r="B541" s="42" t="s">
        <v>40</v>
      </c>
      <c r="C541" s="42" t="s">
        <v>2066</v>
      </c>
      <c r="D541" s="42" t="s">
        <v>2151</v>
      </c>
      <c r="E541" s="42"/>
      <c r="F541" s="43" t="s">
        <v>72</v>
      </c>
      <c r="G541" s="44" t="s">
        <v>2155</v>
      </c>
      <c r="H541" s="41" t="s">
        <v>1030</v>
      </c>
      <c r="I541" s="42" t="s">
        <v>52</v>
      </c>
      <c r="J541" s="211"/>
      <c r="K541" s="261"/>
      <c r="L541" s="262"/>
      <c r="M541" s="293"/>
      <c r="N541" s="343"/>
      <c r="O541" s="293"/>
      <c r="P541" s="294"/>
      <c r="Q541" s="431"/>
      <c r="R541" s="432"/>
      <c r="S541" s="465"/>
      <c r="T541" s="518"/>
      <c r="U541" s="465"/>
      <c r="V541" s="466"/>
      <c r="W541" s="611"/>
      <c r="X541" s="612"/>
      <c r="Y541" s="652"/>
      <c r="Z541" s="702"/>
      <c r="AA541" s="652"/>
      <c r="AB541" s="616"/>
      <c r="AC541" s="792"/>
      <c r="AD541" s="793"/>
      <c r="AE541" s="820"/>
      <c r="AF541" s="860"/>
      <c r="AG541" s="820"/>
      <c r="AH541" s="960"/>
      <c r="AI541" s="918"/>
    </row>
    <row r="542" spans="1:35" ht="26.25" x14ac:dyDescent="0.25">
      <c r="A542" s="18" t="s">
        <v>2156</v>
      </c>
      <c r="B542" s="19" t="s">
        <v>40</v>
      </c>
      <c r="C542" s="19" t="s">
        <v>2066</v>
      </c>
      <c r="D542" s="19" t="s">
        <v>2157</v>
      </c>
      <c r="E542" s="19" t="s">
        <v>2158</v>
      </c>
      <c r="F542" s="20"/>
      <c r="G542" s="21" t="s">
        <v>2158</v>
      </c>
      <c r="H542" s="18" t="s">
        <v>1030</v>
      </c>
      <c r="I542" s="19" t="s">
        <v>89</v>
      </c>
      <c r="J542" s="210"/>
      <c r="K542" s="250"/>
      <c r="L542" s="251"/>
      <c r="M542" s="252"/>
      <c r="N542" s="253"/>
      <c r="O542" s="252"/>
      <c r="P542" s="254"/>
      <c r="Q542" s="418"/>
      <c r="R542" s="419"/>
      <c r="S542" s="420"/>
      <c r="T542" s="421"/>
      <c r="U542" s="420"/>
      <c r="V542" s="422"/>
      <c r="W542" s="597"/>
      <c r="X542" s="598"/>
      <c r="Y542" s="599"/>
      <c r="Z542" s="600"/>
      <c r="AA542" s="599"/>
      <c r="AB542" s="601"/>
      <c r="AC542" s="781"/>
      <c r="AD542" s="782"/>
      <c r="AE542" s="783"/>
      <c r="AF542" s="784"/>
      <c r="AG542" s="783"/>
      <c r="AH542" s="957"/>
      <c r="AI542" s="913" t="s">
        <v>2159</v>
      </c>
    </row>
    <row r="543" spans="1:35" ht="39" x14ac:dyDescent="0.25">
      <c r="A543" s="18" t="s">
        <v>2160</v>
      </c>
      <c r="B543" s="19" t="s">
        <v>40</v>
      </c>
      <c r="C543" s="19" t="s">
        <v>2066</v>
      </c>
      <c r="D543" s="19" t="s">
        <v>2157</v>
      </c>
      <c r="E543" s="19" t="s">
        <v>2161</v>
      </c>
      <c r="F543" s="20"/>
      <c r="G543" s="21" t="s">
        <v>2161</v>
      </c>
      <c r="H543" s="18" t="s">
        <v>2162</v>
      </c>
      <c r="I543" s="19" t="s">
        <v>89</v>
      </c>
      <c r="J543" s="210"/>
      <c r="K543" s="250"/>
      <c r="L543" s="251"/>
      <c r="M543" s="252"/>
      <c r="N543" s="253"/>
      <c r="O543" s="252"/>
      <c r="P543" s="254"/>
      <c r="Q543" s="418"/>
      <c r="R543" s="419"/>
      <c r="S543" s="420"/>
      <c r="T543" s="421"/>
      <c r="U543" s="420"/>
      <c r="V543" s="422"/>
      <c r="W543" s="597"/>
      <c r="X543" s="598"/>
      <c r="Y543" s="599"/>
      <c r="Z543" s="600"/>
      <c r="AA543" s="599"/>
      <c r="AB543" s="601"/>
      <c r="AC543" s="781"/>
      <c r="AD543" s="782"/>
      <c r="AE543" s="783"/>
      <c r="AF543" s="784"/>
      <c r="AG543" s="783"/>
      <c r="AH543" s="957"/>
      <c r="AI543" s="913" t="s">
        <v>2163</v>
      </c>
    </row>
    <row r="544" spans="1:35" ht="64.5" x14ac:dyDescent="0.25">
      <c r="A544" s="172" t="s">
        <v>2164</v>
      </c>
      <c r="B544" s="173" t="s">
        <v>40</v>
      </c>
      <c r="C544" s="173" t="s">
        <v>2066</v>
      </c>
      <c r="D544" s="173" t="s">
        <v>2157</v>
      </c>
      <c r="E544" s="173"/>
      <c r="F544" s="174" t="s">
        <v>2165</v>
      </c>
      <c r="G544" s="175" t="s">
        <v>2157</v>
      </c>
      <c r="H544" s="172" t="s">
        <v>2166</v>
      </c>
      <c r="I544" s="173" t="s">
        <v>556</v>
      </c>
      <c r="J544" s="210"/>
      <c r="K544" s="250"/>
      <c r="L544" s="251"/>
      <c r="M544" s="252"/>
      <c r="N544" s="253"/>
      <c r="O544" s="252"/>
      <c r="P544" s="254"/>
      <c r="Q544" s="418"/>
      <c r="R544" s="419"/>
      <c r="S544" s="420"/>
      <c r="T544" s="421"/>
      <c r="U544" s="420"/>
      <c r="V544" s="422"/>
      <c r="W544" s="597"/>
      <c r="X544" s="598"/>
      <c r="Y544" s="599"/>
      <c r="Z544" s="600"/>
      <c r="AA544" s="599"/>
      <c r="AB544" s="601"/>
      <c r="AC544" s="781"/>
      <c r="AD544" s="782"/>
      <c r="AE544" s="783"/>
      <c r="AF544" s="784"/>
      <c r="AG544" s="783"/>
      <c r="AH544" s="957"/>
      <c r="AI544" s="944" t="s">
        <v>2167</v>
      </c>
    </row>
    <row r="545" spans="1:35" ht="26.25" x14ac:dyDescent="0.25">
      <c r="A545" s="32" t="s">
        <v>2168</v>
      </c>
      <c r="B545" s="33" t="s">
        <v>40</v>
      </c>
      <c r="C545" s="33" t="s">
        <v>2066</v>
      </c>
      <c r="D545" s="33" t="s">
        <v>2169</v>
      </c>
      <c r="E545" s="33"/>
      <c r="F545" s="34"/>
      <c r="G545" s="35" t="s">
        <v>2169</v>
      </c>
      <c r="H545" s="32" t="s">
        <v>1349</v>
      </c>
      <c r="I545" s="33" t="s">
        <v>160</v>
      </c>
      <c r="J545" s="210"/>
      <c r="K545" s="250"/>
      <c r="L545" s="251"/>
      <c r="M545" s="252"/>
      <c r="N545" s="253"/>
      <c r="O545" s="252"/>
      <c r="P545" s="254"/>
      <c r="Q545" s="418"/>
      <c r="R545" s="419"/>
      <c r="S545" s="420"/>
      <c r="T545" s="421"/>
      <c r="U545" s="420"/>
      <c r="V545" s="422"/>
      <c r="W545" s="597"/>
      <c r="X545" s="598"/>
      <c r="Y545" s="599"/>
      <c r="Z545" s="600"/>
      <c r="AA545" s="599"/>
      <c r="AB545" s="601"/>
      <c r="AC545" s="781"/>
      <c r="AD545" s="782"/>
      <c r="AE545" s="783"/>
      <c r="AF545" s="784"/>
      <c r="AG545" s="783"/>
      <c r="AH545" s="957"/>
      <c r="AI545" s="916" t="s">
        <v>2170</v>
      </c>
    </row>
    <row r="546" spans="1:35" ht="26.25" x14ac:dyDescent="0.25">
      <c r="A546" s="32" t="s">
        <v>2171</v>
      </c>
      <c r="B546" s="33" t="s">
        <v>40</v>
      </c>
      <c r="C546" s="33" t="s">
        <v>2066</v>
      </c>
      <c r="D546" s="33" t="s">
        <v>2172</v>
      </c>
      <c r="E546" s="33"/>
      <c r="F546" s="34"/>
      <c r="G546" s="35" t="s">
        <v>2172</v>
      </c>
      <c r="H546" s="32" t="s">
        <v>1455</v>
      </c>
      <c r="I546" s="33" t="s">
        <v>52</v>
      </c>
      <c r="J546" s="210"/>
      <c r="K546" s="250"/>
      <c r="L546" s="251"/>
      <c r="M546" s="252"/>
      <c r="N546" s="253"/>
      <c r="O546" s="252"/>
      <c r="P546" s="254"/>
      <c r="Q546" s="418"/>
      <c r="R546" s="419"/>
      <c r="S546" s="420"/>
      <c r="T546" s="421"/>
      <c r="U546" s="420"/>
      <c r="V546" s="422"/>
      <c r="W546" s="597"/>
      <c r="X546" s="598"/>
      <c r="Y546" s="599"/>
      <c r="Z546" s="600"/>
      <c r="AA546" s="599"/>
      <c r="AB546" s="601"/>
      <c r="AC546" s="781"/>
      <c r="AD546" s="782"/>
      <c r="AE546" s="783"/>
      <c r="AF546" s="784"/>
      <c r="AG546" s="783"/>
      <c r="AH546" s="957"/>
      <c r="AI546" s="916" t="s">
        <v>2173</v>
      </c>
    </row>
    <row r="547" spans="1:35" ht="26.25" x14ac:dyDescent="0.25">
      <c r="A547" s="32" t="s">
        <v>2174</v>
      </c>
      <c r="B547" s="33" t="s">
        <v>40</v>
      </c>
      <c r="C547" s="33" t="s">
        <v>2066</v>
      </c>
      <c r="D547" s="33" t="s">
        <v>2175</v>
      </c>
      <c r="E547" s="33"/>
      <c r="F547" s="34"/>
      <c r="G547" s="35" t="s">
        <v>2175</v>
      </c>
      <c r="H547" s="32" t="s">
        <v>1313</v>
      </c>
      <c r="I547" s="33" t="s">
        <v>556</v>
      </c>
      <c r="J547" s="210"/>
      <c r="K547" s="250"/>
      <c r="L547" s="251"/>
      <c r="M547" s="252"/>
      <c r="N547" s="253"/>
      <c r="O547" s="252"/>
      <c r="P547" s="254"/>
      <c r="Q547" s="418"/>
      <c r="R547" s="419"/>
      <c r="S547" s="420"/>
      <c r="T547" s="421"/>
      <c r="U547" s="420"/>
      <c r="V547" s="422"/>
      <c r="W547" s="597"/>
      <c r="X547" s="598"/>
      <c r="Y547" s="599"/>
      <c r="Z547" s="600"/>
      <c r="AA547" s="599"/>
      <c r="AB547" s="601"/>
      <c r="AC547" s="781"/>
      <c r="AD547" s="782"/>
      <c r="AE547" s="783"/>
      <c r="AF547" s="784"/>
      <c r="AG547" s="783"/>
      <c r="AH547" s="957"/>
      <c r="AI547" s="916" t="s">
        <v>2176</v>
      </c>
    </row>
    <row r="548" spans="1:35" ht="26.25" x14ac:dyDescent="0.25">
      <c r="A548" s="32" t="s">
        <v>2177</v>
      </c>
      <c r="B548" s="33" t="s">
        <v>40</v>
      </c>
      <c r="C548" s="33" t="s">
        <v>2066</v>
      </c>
      <c r="D548" s="33" t="s">
        <v>2178</v>
      </c>
      <c r="E548" s="33"/>
      <c r="F548" s="34"/>
      <c r="G548" s="35" t="s">
        <v>2178</v>
      </c>
      <c r="H548" s="32" t="s">
        <v>2179</v>
      </c>
      <c r="I548" s="33" t="s">
        <v>556</v>
      </c>
      <c r="J548" s="210"/>
      <c r="K548" s="250"/>
      <c r="L548" s="251"/>
      <c r="M548" s="252"/>
      <c r="N548" s="253"/>
      <c r="O548" s="252"/>
      <c r="P548" s="254"/>
      <c r="Q548" s="418"/>
      <c r="R548" s="419"/>
      <c r="S548" s="420"/>
      <c r="T548" s="421"/>
      <c r="U548" s="420"/>
      <c r="V548" s="422"/>
      <c r="W548" s="597"/>
      <c r="X548" s="598"/>
      <c r="Y548" s="599"/>
      <c r="Z548" s="600"/>
      <c r="AA548" s="599"/>
      <c r="AB548" s="601"/>
      <c r="AC548" s="781"/>
      <c r="AD548" s="782"/>
      <c r="AE548" s="783"/>
      <c r="AF548" s="784"/>
      <c r="AG548" s="783"/>
      <c r="AH548" s="957"/>
      <c r="AI548" s="916" t="s">
        <v>2180</v>
      </c>
    </row>
    <row r="549" spans="1:35" ht="26.25" x14ac:dyDescent="0.25">
      <c r="A549" s="32" t="s">
        <v>2181</v>
      </c>
      <c r="B549" s="33" t="s">
        <v>40</v>
      </c>
      <c r="C549" s="33" t="s">
        <v>2066</v>
      </c>
      <c r="D549" s="33" t="s">
        <v>2182</v>
      </c>
      <c r="E549" s="33"/>
      <c r="F549" s="34"/>
      <c r="G549" s="35" t="s">
        <v>2182</v>
      </c>
      <c r="H549" s="32" t="s">
        <v>952</v>
      </c>
      <c r="I549" s="33" t="s">
        <v>83</v>
      </c>
      <c r="J549" s="210"/>
      <c r="K549" s="250"/>
      <c r="L549" s="251"/>
      <c r="M549" s="252"/>
      <c r="N549" s="253"/>
      <c r="O549" s="252"/>
      <c r="P549" s="254"/>
      <c r="Q549" s="418"/>
      <c r="R549" s="419"/>
      <c r="S549" s="420"/>
      <c r="T549" s="421"/>
      <c r="U549" s="420"/>
      <c r="V549" s="422"/>
      <c r="W549" s="597"/>
      <c r="X549" s="598"/>
      <c r="Y549" s="599"/>
      <c r="Z549" s="600"/>
      <c r="AA549" s="599"/>
      <c r="AB549" s="601"/>
      <c r="AC549" s="781"/>
      <c r="AD549" s="782"/>
      <c r="AE549" s="783"/>
      <c r="AF549" s="784"/>
      <c r="AG549" s="783"/>
      <c r="AH549" s="957"/>
      <c r="AI549" s="916" t="s">
        <v>2183</v>
      </c>
    </row>
    <row r="550" spans="1:35" ht="45" x14ac:dyDescent="0.25">
      <c r="A550" s="41" t="s">
        <v>2184</v>
      </c>
      <c r="B550" s="42" t="s">
        <v>40</v>
      </c>
      <c r="C550" s="42" t="s">
        <v>2066</v>
      </c>
      <c r="D550" s="42" t="s">
        <v>2185</v>
      </c>
      <c r="E550" s="42"/>
      <c r="F550" s="43" t="s">
        <v>2186</v>
      </c>
      <c r="G550" s="44" t="s">
        <v>2187</v>
      </c>
      <c r="H550" s="41" t="s">
        <v>2188</v>
      </c>
      <c r="I550" s="42" t="s">
        <v>89</v>
      </c>
      <c r="J550" s="211"/>
      <c r="K550" s="261">
        <v>38</v>
      </c>
      <c r="L550" s="262" t="s">
        <v>2189</v>
      </c>
      <c r="M550" s="263">
        <f>(1051917/100000)-K550</f>
        <v>-27.480829999999997</v>
      </c>
      <c r="N550" s="264">
        <f>27682/100000</f>
        <v>0.27682000000000001</v>
      </c>
      <c r="O550" s="263">
        <f>(1051917/50000)-K550</f>
        <v>-16.961659999999998</v>
      </c>
      <c r="P550" s="265">
        <f>27682/50000</f>
        <v>0.55364000000000002</v>
      </c>
      <c r="Q550" s="431">
        <v>29</v>
      </c>
      <c r="R550" s="432" t="s">
        <v>2190</v>
      </c>
      <c r="S550" s="433">
        <f>(578592/100000)-Q550</f>
        <v>-23.214079999999999</v>
      </c>
      <c r="T550" s="434">
        <f>19951/100000</f>
        <v>0.19950999999999999</v>
      </c>
      <c r="U550" s="433">
        <f>(578592/50000)-Q550</f>
        <v>-17.428159999999998</v>
      </c>
      <c r="V550" s="435">
        <f>19951/50000</f>
        <v>0.39901999999999999</v>
      </c>
      <c r="W550" s="611">
        <v>4</v>
      </c>
      <c r="X550" s="612" t="s">
        <v>69</v>
      </c>
      <c r="Y550" s="613">
        <f>(189789/100000)-W550</f>
        <v>-2.1021099999999997</v>
      </c>
      <c r="Z550" s="614">
        <f>47447/100000</f>
        <v>0.47447</v>
      </c>
      <c r="AA550" s="613">
        <f>(189789/50000)-W550</f>
        <v>-0.20421999999999985</v>
      </c>
      <c r="AB550" s="615">
        <f>47447/50000</f>
        <v>0.94894000000000001</v>
      </c>
      <c r="AC550" s="792">
        <v>5</v>
      </c>
      <c r="AD550" s="793" t="s">
        <v>2191</v>
      </c>
      <c r="AE550" s="794">
        <f>(263509/100000)-AC550</f>
        <v>-2.3649100000000001</v>
      </c>
      <c r="AF550" s="795">
        <f>52702/100000</f>
        <v>0.52702000000000004</v>
      </c>
      <c r="AG550" s="794">
        <f>(263509/50000)-AC550</f>
        <v>0.27017999999999986</v>
      </c>
      <c r="AH550" s="959">
        <f>52702/50000</f>
        <v>1.0540400000000001</v>
      </c>
      <c r="AI550" s="918" t="s">
        <v>2192</v>
      </c>
    </row>
    <row r="551" spans="1:35" ht="26.25" x14ac:dyDescent="0.25">
      <c r="A551" s="18" t="s">
        <v>2193</v>
      </c>
      <c r="B551" s="19" t="s">
        <v>40</v>
      </c>
      <c r="C551" s="19" t="s">
        <v>2066</v>
      </c>
      <c r="D551" s="19" t="s">
        <v>2194</v>
      </c>
      <c r="E551" s="19" t="s">
        <v>2195</v>
      </c>
      <c r="F551" s="20"/>
      <c r="G551" s="21" t="s">
        <v>2195</v>
      </c>
      <c r="H551" s="18" t="s">
        <v>2196</v>
      </c>
      <c r="I551" s="19" t="s">
        <v>83</v>
      </c>
      <c r="J551" s="210"/>
      <c r="K551" s="250"/>
      <c r="L551" s="251"/>
      <c r="M551" s="252"/>
      <c r="N551" s="253"/>
      <c r="O551" s="252"/>
      <c r="P551" s="254"/>
      <c r="Q551" s="418"/>
      <c r="R551" s="419"/>
      <c r="S551" s="420"/>
      <c r="T551" s="421"/>
      <c r="U551" s="420"/>
      <c r="V551" s="422"/>
      <c r="W551" s="597"/>
      <c r="X551" s="598"/>
      <c r="Y551" s="599"/>
      <c r="Z551" s="600"/>
      <c r="AA551" s="599"/>
      <c r="AB551" s="601"/>
      <c r="AC551" s="781"/>
      <c r="AD551" s="782"/>
      <c r="AE551" s="783"/>
      <c r="AF551" s="784"/>
      <c r="AG551" s="783"/>
      <c r="AH551" s="957"/>
      <c r="AI551" s="913" t="s">
        <v>2197</v>
      </c>
    </row>
    <row r="552" spans="1:35" ht="26.25" x14ac:dyDescent="0.25">
      <c r="A552" s="18" t="s">
        <v>2198</v>
      </c>
      <c r="B552" s="19" t="s">
        <v>40</v>
      </c>
      <c r="C552" s="19" t="s">
        <v>2066</v>
      </c>
      <c r="D552" s="19" t="s">
        <v>2194</v>
      </c>
      <c r="E552" s="19" t="s">
        <v>2199</v>
      </c>
      <c r="F552" s="20"/>
      <c r="G552" s="21" t="s">
        <v>2199</v>
      </c>
      <c r="H552" s="18" t="s">
        <v>2196</v>
      </c>
      <c r="I552" s="19" t="s">
        <v>83</v>
      </c>
      <c r="J552" s="210"/>
      <c r="K552" s="250"/>
      <c r="L552" s="251"/>
      <c r="M552" s="252"/>
      <c r="N552" s="253"/>
      <c r="O552" s="252"/>
      <c r="P552" s="254"/>
      <c r="Q552" s="418"/>
      <c r="R552" s="419"/>
      <c r="S552" s="420"/>
      <c r="T552" s="421"/>
      <c r="U552" s="420"/>
      <c r="V552" s="422"/>
      <c r="W552" s="597"/>
      <c r="X552" s="598"/>
      <c r="Y552" s="599"/>
      <c r="Z552" s="600"/>
      <c r="AA552" s="599"/>
      <c r="AB552" s="601"/>
      <c r="AC552" s="781"/>
      <c r="AD552" s="782"/>
      <c r="AE552" s="783"/>
      <c r="AF552" s="784"/>
      <c r="AG552" s="783"/>
      <c r="AH552" s="957"/>
      <c r="AI552" s="913" t="s">
        <v>2200</v>
      </c>
    </row>
    <row r="553" spans="1:35" ht="26.25" x14ac:dyDescent="0.25">
      <c r="A553" s="18" t="s">
        <v>2201</v>
      </c>
      <c r="B553" s="19" t="s">
        <v>40</v>
      </c>
      <c r="C553" s="19" t="s">
        <v>2066</v>
      </c>
      <c r="D553" s="19" t="s">
        <v>2194</v>
      </c>
      <c r="E553" s="19" t="s">
        <v>2202</v>
      </c>
      <c r="F553" s="20"/>
      <c r="G553" s="21" t="s">
        <v>2203</v>
      </c>
      <c r="H553" s="18" t="s">
        <v>2179</v>
      </c>
      <c r="I553" s="19" t="s">
        <v>556</v>
      </c>
      <c r="J553" s="210"/>
      <c r="K553" s="250"/>
      <c r="L553" s="251"/>
      <c r="M553" s="252"/>
      <c r="N553" s="253"/>
      <c r="O553" s="252"/>
      <c r="P553" s="254"/>
      <c r="Q553" s="418"/>
      <c r="R553" s="419"/>
      <c r="S553" s="420"/>
      <c r="T553" s="421"/>
      <c r="U553" s="420"/>
      <c r="V553" s="422"/>
      <c r="W553" s="597"/>
      <c r="X553" s="598"/>
      <c r="Y553" s="599"/>
      <c r="Z553" s="600"/>
      <c r="AA553" s="599"/>
      <c r="AB553" s="601"/>
      <c r="AC553" s="781"/>
      <c r="AD553" s="782"/>
      <c r="AE553" s="783"/>
      <c r="AF553" s="784"/>
      <c r="AG553" s="783"/>
      <c r="AH553" s="957"/>
      <c r="AI553" s="913" t="s">
        <v>2197</v>
      </c>
    </row>
    <row r="554" spans="1:35" ht="26.25" x14ac:dyDescent="0.25">
      <c r="A554" s="18" t="s">
        <v>2204</v>
      </c>
      <c r="B554" s="19" t="s">
        <v>40</v>
      </c>
      <c r="C554" s="19" t="s">
        <v>2066</v>
      </c>
      <c r="D554" s="19" t="s">
        <v>2194</v>
      </c>
      <c r="E554" s="19" t="s">
        <v>2205</v>
      </c>
      <c r="F554" s="20"/>
      <c r="G554" s="21" t="s">
        <v>2206</v>
      </c>
      <c r="H554" s="18" t="s">
        <v>1313</v>
      </c>
      <c r="I554" s="19" t="s">
        <v>556</v>
      </c>
      <c r="J554" s="210"/>
      <c r="K554" s="250"/>
      <c r="L554" s="251"/>
      <c r="M554" s="252"/>
      <c r="N554" s="253"/>
      <c r="O554" s="252"/>
      <c r="P554" s="254"/>
      <c r="Q554" s="418"/>
      <c r="R554" s="419"/>
      <c r="S554" s="420"/>
      <c r="T554" s="421"/>
      <c r="U554" s="420"/>
      <c r="V554" s="422"/>
      <c r="W554" s="597"/>
      <c r="X554" s="598"/>
      <c r="Y554" s="599"/>
      <c r="Z554" s="600"/>
      <c r="AA554" s="599"/>
      <c r="AB554" s="601"/>
      <c r="AC554" s="781"/>
      <c r="AD554" s="782"/>
      <c r="AE554" s="783"/>
      <c r="AF554" s="784"/>
      <c r="AG554" s="783"/>
      <c r="AH554" s="957"/>
      <c r="AI554" s="913" t="s">
        <v>2197</v>
      </c>
    </row>
    <row r="555" spans="1:35" ht="64.5" x14ac:dyDescent="0.25">
      <c r="A555" s="180" t="s">
        <v>2207</v>
      </c>
      <c r="B555" s="181" t="s">
        <v>40</v>
      </c>
      <c r="C555" s="181" t="s">
        <v>2066</v>
      </c>
      <c r="D555" s="181" t="s">
        <v>2194</v>
      </c>
      <c r="E555" s="181"/>
      <c r="F555" s="182" t="s">
        <v>1291</v>
      </c>
      <c r="G555" s="183" t="s">
        <v>2194</v>
      </c>
      <c r="H555" s="180" t="s">
        <v>2208</v>
      </c>
      <c r="I555" s="181" t="s">
        <v>556</v>
      </c>
      <c r="J555" s="227"/>
      <c r="K555" s="365"/>
      <c r="L555" s="366"/>
      <c r="M555" s="367"/>
      <c r="N555" s="368"/>
      <c r="O555" s="367"/>
      <c r="P555" s="369"/>
      <c r="Q555" s="542"/>
      <c r="R555" s="543"/>
      <c r="S555" s="544"/>
      <c r="T555" s="545"/>
      <c r="U555" s="544"/>
      <c r="V555" s="546"/>
      <c r="W555" s="725"/>
      <c r="X555" s="726"/>
      <c r="Y555" s="727"/>
      <c r="Z555" s="728"/>
      <c r="AA555" s="727"/>
      <c r="AB555" s="729"/>
      <c r="AC555" s="880"/>
      <c r="AD555" s="881"/>
      <c r="AE555" s="882"/>
      <c r="AF555" s="883"/>
      <c r="AG555" s="882"/>
      <c r="AH555" s="986"/>
      <c r="AI555" s="947" t="s">
        <v>2209</v>
      </c>
    </row>
    <row r="556" spans="1:35" ht="26.25" x14ac:dyDescent="0.25">
      <c r="A556" s="18" t="s">
        <v>2210</v>
      </c>
      <c r="B556" s="19" t="s">
        <v>40</v>
      </c>
      <c r="C556" s="19" t="s">
        <v>2066</v>
      </c>
      <c r="D556" s="19" t="s">
        <v>2211</v>
      </c>
      <c r="E556" s="19" t="s">
        <v>2212</v>
      </c>
      <c r="F556" s="20"/>
      <c r="G556" s="21" t="s">
        <v>2213</v>
      </c>
      <c r="H556" s="18" t="s">
        <v>2188</v>
      </c>
      <c r="I556" s="19" t="s">
        <v>83</v>
      </c>
      <c r="J556" s="210"/>
      <c r="K556" s="250"/>
      <c r="L556" s="251"/>
      <c r="M556" s="252"/>
      <c r="N556" s="253"/>
      <c r="O556" s="252"/>
      <c r="P556" s="254"/>
      <c r="Q556" s="418"/>
      <c r="R556" s="419"/>
      <c r="S556" s="420"/>
      <c r="T556" s="421"/>
      <c r="U556" s="420"/>
      <c r="V556" s="422"/>
      <c r="W556" s="597"/>
      <c r="X556" s="598"/>
      <c r="Y556" s="599"/>
      <c r="Z556" s="600"/>
      <c r="AA556" s="599"/>
      <c r="AB556" s="601"/>
      <c r="AC556" s="781"/>
      <c r="AD556" s="782"/>
      <c r="AE556" s="783"/>
      <c r="AF556" s="784"/>
      <c r="AG556" s="783"/>
      <c r="AH556" s="957"/>
      <c r="AI556" s="913" t="s">
        <v>2197</v>
      </c>
    </row>
    <row r="557" spans="1:35" ht="64.5" x14ac:dyDescent="0.25">
      <c r="A557" s="91" t="s">
        <v>2214</v>
      </c>
      <c r="B557" s="92" t="s">
        <v>40</v>
      </c>
      <c r="C557" s="92" t="s">
        <v>2066</v>
      </c>
      <c r="D557" s="92" t="s">
        <v>2215</v>
      </c>
      <c r="E557" s="92"/>
      <c r="F557" s="93" t="s">
        <v>2216</v>
      </c>
      <c r="G557" s="184" t="s">
        <v>1262</v>
      </c>
      <c r="H557" s="91"/>
      <c r="I557" s="92"/>
      <c r="J557" s="216"/>
      <c r="K557" s="303"/>
      <c r="L557" s="304"/>
      <c r="M557" s="370"/>
      <c r="N557" s="371"/>
      <c r="O557" s="370"/>
      <c r="P557" s="372"/>
      <c r="Q557" s="475"/>
      <c r="R557" s="476"/>
      <c r="S557" s="547"/>
      <c r="T557" s="548"/>
      <c r="U557" s="547"/>
      <c r="V557" s="549"/>
      <c r="W557" s="662"/>
      <c r="X557" s="663"/>
      <c r="Y557" s="730"/>
      <c r="Z557" s="731"/>
      <c r="AA557" s="730"/>
      <c r="AB557" s="732"/>
      <c r="AC557" s="828"/>
      <c r="AD557" s="829"/>
      <c r="AE557" s="884"/>
      <c r="AF557" s="885"/>
      <c r="AG557" s="884"/>
      <c r="AH557" s="987"/>
      <c r="AI557" s="927"/>
    </row>
    <row r="558" spans="1:35" ht="51.75" x14ac:dyDescent="0.25">
      <c r="A558" s="91" t="s">
        <v>2217</v>
      </c>
      <c r="B558" s="92" t="s">
        <v>40</v>
      </c>
      <c r="C558" s="92" t="s">
        <v>2066</v>
      </c>
      <c r="D558" s="92" t="s">
        <v>2218</v>
      </c>
      <c r="E558" s="92"/>
      <c r="F558" s="93" t="s">
        <v>2218</v>
      </c>
      <c r="G558" s="184" t="s">
        <v>1262</v>
      </c>
      <c r="H558" s="91"/>
      <c r="I558" s="92"/>
      <c r="J558" s="216"/>
      <c r="K558" s="303"/>
      <c r="L558" s="304"/>
      <c r="M558" s="370"/>
      <c r="N558" s="371"/>
      <c r="O558" s="370"/>
      <c r="P558" s="372"/>
      <c r="Q558" s="475"/>
      <c r="R558" s="476"/>
      <c r="S558" s="547"/>
      <c r="T558" s="548"/>
      <c r="U558" s="547"/>
      <c r="V558" s="549"/>
      <c r="W558" s="662"/>
      <c r="X558" s="663"/>
      <c r="Y558" s="730"/>
      <c r="Z558" s="731"/>
      <c r="AA558" s="730"/>
      <c r="AB558" s="732"/>
      <c r="AC558" s="828"/>
      <c r="AD558" s="829"/>
      <c r="AE558" s="884"/>
      <c r="AF558" s="885"/>
      <c r="AG558" s="884"/>
      <c r="AH558" s="987"/>
      <c r="AI558" s="927"/>
    </row>
    <row r="559" spans="1:35" ht="51.75" x14ac:dyDescent="0.25">
      <c r="A559" s="91" t="s">
        <v>2219</v>
      </c>
      <c r="B559" s="92" t="s">
        <v>40</v>
      </c>
      <c r="C559" s="92" t="s">
        <v>2066</v>
      </c>
      <c r="D559" s="92" t="s">
        <v>2220</v>
      </c>
      <c r="E559" s="92"/>
      <c r="F559" s="93" t="s">
        <v>2220</v>
      </c>
      <c r="G559" s="184" t="s">
        <v>1262</v>
      </c>
      <c r="H559" s="91"/>
      <c r="I559" s="92"/>
      <c r="J559" s="216"/>
      <c r="K559" s="303"/>
      <c r="L559" s="304"/>
      <c r="M559" s="370"/>
      <c r="N559" s="371"/>
      <c r="O559" s="370"/>
      <c r="P559" s="372"/>
      <c r="Q559" s="475"/>
      <c r="R559" s="476"/>
      <c r="S559" s="547"/>
      <c r="T559" s="548"/>
      <c r="U559" s="547"/>
      <c r="V559" s="549"/>
      <c r="W559" s="662"/>
      <c r="X559" s="663"/>
      <c r="Y559" s="730"/>
      <c r="Z559" s="731"/>
      <c r="AA559" s="730"/>
      <c r="AB559" s="732"/>
      <c r="AC559" s="828"/>
      <c r="AD559" s="829"/>
      <c r="AE559" s="884"/>
      <c r="AF559" s="885"/>
      <c r="AG559" s="884"/>
      <c r="AH559" s="987"/>
      <c r="AI559" s="927"/>
    </row>
    <row r="560" spans="1:35" ht="30.75" thickBot="1" x14ac:dyDescent="0.3">
      <c r="A560" s="86" t="s">
        <v>2221</v>
      </c>
      <c r="B560" s="87" t="s">
        <v>40</v>
      </c>
      <c r="C560" s="87" t="s">
        <v>2066</v>
      </c>
      <c r="D560" s="87" t="s">
        <v>2211</v>
      </c>
      <c r="E560" s="87"/>
      <c r="F560" s="88" t="s">
        <v>2211</v>
      </c>
      <c r="G560" s="89" t="s">
        <v>2211</v>
      </c>
      <c r="H560" s="86" t="s">
        <v>2222</v>
      </c>
      <c r="I560" s="87" t="s">
        <v>2223</v>
      </c>
      <c r="J560" s="215"/>
      <c r="K560" s="298"/>
      <c r="L560" s="299"/>
      <c r="M560" s="373"/>
      <c r="N560" s="374"/>
      <c r="O560" s="373"/>
      <c r="P560" s="375"/>
      <c r="Q560" s="470"/>
      <c r="R560" s="471"/>
      <c r="S560" s="550"/>
      <c r="T560" s="551"/>
      <c r="U560" s="550"/>
      <c r="V560" s="552"/>
      <c r="W560" s="657"/>
      <c r="X560" s="658"/>
      <c r="Y560" s="733"/>
      <c r="Z560" s="734"/>
      <c r="AA560" s="733"/>
      <c r="AB560" s="735"/>
      <c r="AC560" s="824"/>
      <c r="AD560" s="825"/>
      <c r="AE560" s="886"/>
      <c r="AF560" s="887"/>
      <c r="AG560" s="886"/>
      <c r="AH560" s="988"/>
      <c r="AI560" s="926" t="s">
        <v>2224</v>
      </c>
    </row>
    <row r="561" spans="1:35" ht="26.25" x14ac:dyDescent="0.25">
      <c r="A561" s="13" t="s">
        <v>2225</v>
      </c>
      <c r="B561" s="14" t="s">
        <v>40</v>
      </c>
      <c r="C561" s="14" t="s">
        <v>2226</v>
      </c>
      <c r="D561" s="14" t="s">
        <v>2227</v>
      </c>
      <c r="E561" s="14" t="s">
        <v>1821</v>
      </c>
      <c r="F561" s="15"/>
      <c r="G561" s="16" t="s">
        <v>2228</v>
      </c>
      <c r="H561" s="13" t="s">
        <v>2229</v>
      </c>
      <c r="I561" s="14" t="s">
        <v>556</v>
      </c>
      <c r="J561" s="209"/>
      <c r="K561" s="245"/>
      <c r="L561" s="246"/>
      <c r="M561" s="247"/>
      <c r="N561" s="248"/>
      <c r="O561" s="247"/>
      <c r="P561" s="249"/>
      <c r="Q561" s="413"/>
      <c r="R561" s="414"/>
      <c r="S561" s="415"/>
      <c r="T561" s="416"/>
      <c r="U561" s="415"/>
      <c r="V561" s="417"/>
      <c r="W561" s="592"/>
      <c r="X561" s="593"/>
      <c r="Y561" s="594"/>
      <c r="Z561" s="595"/>
      <c r="AA561" s="594"/>
      <c r="AB561" s="596"/>
      <c r="AC561" s="777"/>
      <c r="AD561" s="778"/>
      <c r="AE561" s="779"/>
      <c r="AF561" s="780"/>
      <c r="AG561" s="779"/>
      <c r="AH561" s="956"/>
      <c r="AI561" s="912" t="s">
        <v>2230</v>
      </c>
    </row>
    <row r="562" spans="1:35" ht="26.25" x14ac:dyDescent="0.25">
      <c r="A562" s="18" t="s">
        <v>2231</v>
      </c>
      <c r="B562" s="19" t="s">
        <v>40</v>
      </c>
      <c r="C562" s="19" t="s">
        <v>2226</v>
      </c>
      <c r="D562" s="19" t="s">
        <v>2227</v>
      </c>
      <c r="E562" s="19" t="s">
        <v>2232</v>
      </c>
      <c r="F562" s="20"/>
      <c r="G562" s="21" t="s">
        <v>2233</v>
      </c>
      <c r="H562" s="18" t="s">
        <v>2234</v>
      </c>
      <c r="I562" s="19" t="s">
        <v>432</v>
      </c>
      <c r="J562" s="210"/>
      <c r="K562" s="250"/>
      <c r="L562" s="251"/>
      <c r="M562" s="252"/>
      <c r="N562" s="253"/>
      <c r="O562" s="252"/>
      <c r="P562" s="254"/>
      <c r="Q562" s="418"/>
      <c r="R562" s="419"/>
      <c r="S562" s="420"/>
      <c r="T562" s="421"/>
      <c r="U562" s="420"/>
      <c r="V562" s="422"/>
      <c r="W562" s="597"/>
      <c r="X562" s="598"/>
      <c r="Y562" s="599"/>
      <c r="Z562" s="600"/>
      <c r="AA562" s="599"/>
      <c r="AB562" s="601"/>
      <c r="AC562" s="781"/>
      <c r="AD562" s="782"/>
      <c r="AE562" s="783"/>
      <c r="AF562" s="784"/>
      <c r="AG562" s="783"/>
      <c r="AH562" s="957"/>
      <c r="AI562" s="913" t="s">
        <v>2235</v>
      </c>
    </row>
    <row r="563" spans="1:35" ht="39" x14ac:dyDescent="0.25">
      <c r="A563" s="18" t="s">
        <v>2236</v>
      </c>
      <c r="B563" s="19" t="s">
        <v>40</v>
      </c>
      <c r="C563" s="19" t="s">
        <v>2226</v>
      </c>
      <c r="D563" s="19" t="s">
        <v>2227</v>
      </c>
      <c r="E563" s="19" t="s">
        <v>2237</v>
      </c>
      <c r="F563" s="20"/>
      <c r="G563" s="21" t="s">
        <v>2238</v>
      </c>
      <c r="H563" s="18" t="s">
        <v>1381</v>
      </c>
      <c r="I563" s="19" t="s">
        <v>1278</v>
      </c>
      <c r="J563" s="210"/>
      <c r="K563" s="250"/>
      <c r="L563" s="251"/>
      <c r="M563" s="252"/>
      <c r="N563" s="253"/>
      <c r="O563" s="252"/>
      <c r="P563" s="254"/>
      <c r="Q563" s="418"/>
      <c r="R563" s="419"/>
      <c r="S563" s="420"/>
      <c r="T563" s="421"/>
      <c r="U563" s="420"/>
      <c r="V563" s="422"/>
      <c r="W563" s="597"/>
      <c r="X563" s="598"/>
      <c r="Y563" s="599"/>
      <c r="Z563" s="600"/>
      <c r="AA563" s="599"/>
      <c r="AB563" s="601"/>
      <c r="AC563" s="781"/>
      <c r="AD563" s="782"/>
      <c r="AE563" s="783"/>
      <c r="AF563" s="784"/>
      <c r="AG563" s="783"/>
      <c r="AH563" s="957"/>
      <c r="AI563" s="913" t="s">
        <v>2235</v>
      </c>
    </row>
    <row r="564" spans="1:35" ht="26.25" x14ac:dyDescent="0.25">
      <c r="A564" s="18" t="s">
        <v>2239</v>
      </c>
      <c r="B564" s="19" t="s">
        <v>40</v>
      </c>
      <c r="C564" s="19" t="s">
        <v>2226</v>
      </c>
      <c r="D564" s="19" t="s">
        <v>2227</v>
      </c>
      <c r="E564" s="19" t="s">
        <v>2240</v>
      </c>
      <c r="F564" s="20"/>
      <c r="G564" s="21" t="s">
        <v>2241</v>
      </c>
      <c r="H564" s="18" t="s">
        <v>2098</v>
      </c>
      <c r="I564" s="19" t="s">
        <v>432</v>
      </c>
      <c r="J564" s="210"/>
      <c r="K564" s="250"/>
      <c r="L564" s="251"/>
      <c r="M564" s="252"/>
      <c r="N564" s="253"/>
      <c r="O564" s="252"/>
      <c r="P564" s="254"/>
      <c r="Q564" s="418"/>
      <c r="R564" s="419"/>
      <c r="S564" s="420"/>
      <c r="T564" s="421"/>
      <c r="U564" s="420"/>
      <c r="V564" s="422"/>
      <c r="W564" s="597"/>
      <c r="X564" s="598"/>
      <c r="Y564" s="599"/>
      <c r="Z564" s="600"/>
      <c r="AA564" s="599"/>
      <c r="AB564" s="601"/>
      <c r="AC564" s="781"/>
      <c r="AD564" s="782"/>
      <c r="AE564" s="783"/>
      <c r="AF564" s="784"/>
      <c r="AG564" s="783"/>
      <c r="AH564" s="957"/>
      <c r="AI564" s="913" t="s">
        <v>2242</v>
      </c>
    </row>
    <row r="565" spans="1:35" ht="26.25" x14ac:dyDescent="0.25">
      <c r="A565" s="18" t="s">
        <v>2243</v>
      </c>
      <c r="B565" s="19" t="s">
        <v>40</v>
      </c>
      <c r="C565" s="19" t="s">
        <v>2226</v>
      </c>
      <c r="D565" s="19" t="s">
        <v>2227</v>
      </c>
      <c r="E565" s="19" t="s">
        <v>203</v>
      </c>
      <c r="F565" s="20"/>
      <c r="G565" s="21" t="s">
        <v>2244</v>
      </c>
      <c r="H565" s="18" t="s">
        <v>2245</v>
      </c>
      <c r="I565" s="19" t="s">
        <v>89</v>
      </c>
      <c r="J565" s="210"/>
      <c r="K565" s="250"/>
      <c r="L565" s="251"/>
      <c r="M565" s="252"/>
      <c r="N565" s="253"/>
      <c r="O565" s="252"/>
      <c r="P565" s="254"/>
      <c r="Q565" s="418"/>
      <c r="R565" s="419"/>
      <c r="S565" s="420"/>
      <c r="T565" s="421"/>
      <c r="U565" s="420"/>
      <c r="V565" s="422"/>
      <c r="W565" s="597"/>
      <c r="X565" s="598"/>
      <c r="Y565" s="599"/>
      <c r="Z565" s="600"/>
      <c r="AA565" s="599"/>
      <c r="AB565" s="601"/>
      <c r="AC565" s="781"/>
      <c r="AD565" s="782"/>
      <c r="AE565" s="783"/>
      <c r="AF565" s="784"/>
      <c r="AG565" s="783"/>
      <c r="AH565" s="957"/>
      <c r="AI565" s="913" t="s">
        <v>2235</v>
      </c>
    </row>
    <row r="566" spans="1:35" ht="26.25" x14ac:dyDescent="0.25">
      <c r="A566" s="18" t="s">
        <v>2246</v>
      </c>
      <c r="B566" s="19" t="s">
        <v>40</v>
      </c>
      <c r="C566" s="19" t="s">
        <v>2226</v>
      </c>
      <c r="D566" s="19" t="s">
        <v>2227</v>
      </c>
      <c r="E566" s="19" t="s">
        <v>317</v>
      </c>
      <c r="F566" s="20"/>
      <c r="G566" s="21" t="s">
        <v>2247</v>
      </c>
      <c r="H566" s="18" t="s">
        <v>2248</v>
      </c>
      <c r="I566" s="19" t="s">
        <v>556</v>
      </c>
      <c r="J566" s="210"/>
      <c r="K566" s="250"/>
      <c r="L566" s="251"/>
      <c r="M566" s="252"/>
      <c r="N566" s="253"/>
      <c r="O566" s="252"/>
      <c r="P566" s="254"/>
      <c r="Q566" s="418"/>
      <c r="R566" s="419"/>
      <c r="S566" s="420"/>
      <c r="T566" s="421"/>
      <c r="U566" s="420"/>
      <c r="V566" s="422"/>
      <c r="W566" s="597"/>
      <c r="X566" s="598"/>
      <c r="Y566" s="599"/>
      <c r="Z566" s="600"/>
      <c r="AA566" s="599"/>
      <c r="AB566" s="601"/>
      <c r="AC566" s="781"/>
      <c r="AD566" s="782"/>
      <c r="AE566" s="783"/>
      <c r="AF566" s="784"/>
      <c r="AG566" s="783"/>
      <c r="AH566" s="957"/>
      <c r="AI566" s="913" t="s">
        <v>2249</v>
      </c>
    </row>
    <row r="567" spans="1:35" ht="26.25" x14ac:dyDescent="0.25">
      <c r="A567" s="18" t="s">
        <v>2250</v>
      </c>
      <c r="B567" s="19" t="s">
        <v>40</v>
      </c>
      <c r="C567" s="19" t="s">
        <v>2226</v>
      </c>
      <c r="D567" s="19" t="s">
        <v>2227</v>
      </c>
      <c r="E567" s="19" t="s">
        <v>2251</v>
      </c>
      <c r="F567" s="20"/>
      <c r="G567" s="21" t="s">
        <v>2252</v>
      </c>
      <c r="H567" s="18" t="s">
        <v>2234</v>
      </c>
      <c r="I567" s="19" t="s">
        <v>260</v>
      </c>
      <c r="J567" s="210"/>
      <c r="K567" s="250"/>
      <c r="L567" s="251"/>
      <c r="M567" s="252"/>
      <c r="N567" s="253"/>
      <c r="O567" s="252"/>
      <c r="P567" s="254"/>
      <c r="Q567" s="418"/>
      <c r="R567" s="419"/>
      <c r="S567" s="420"/>
      <c r="T567" s="421"/>
      <c r="U567" s="420"/>
      <c r="V567" s="422"/>
      <c r="W567" s="597"/>
      <c r="X567" s="598"/>
      <c r="Y567" s="599"/>
      <c r="Z567" s="600"/>
      <c r="AA567" s="599"/>
      <c r="AB567" s="601"/>
      <c r="AC567" s="781"/>
      <c r="AD567" s="782"/>
      <c r="AE567" s="783"/>
      <c r="AF567" s="784"/>
      <c r="AG567" s="783"/>
      <c r="AH567" s="957"/>
      <c r="AI567" s="913" t="s">
        <v>2253</v>
      </c>
    </row>
    <row r="568" spans="1:35" ht="26.25" x14ac:dyDescent="0.25">
      <c r="A568" s="18" t="s">
        <v>2254</v>
      </c>
      <c r="B568" s="19" t="s">
        <v>40</v>
      </c>
      <c r="C568" s="19" t="s">
        <v>2226</v>
      </c>
      <c r="D568" s="19" t="s">
        <v>2227</v>
      </c>
      <c r="E568" s="19" t="s">
        <v>2255</v>
      </c>
      <c r="F568" s="20"/>
      <c r="G568" s="21" t="s">
        <v>2256</v>
      </c>
      <c r="H568" s="18" t="s">
        <v>2234</v>
      </c>
      <c r="I568" s="19" t="s">
        <v>432</v>
      </c>
      <c r="J568" s="210"/>
      <c r="K568" s="250"/>
      <c r="L568" s="251"/>
      <c r="M568" s="252"/>
      <c r="N568" s="253"/>
      <c r="O568" s="252"/>
      <c r="P568" s="254"/>
      <c r="Q568" s="418"/>
      <c r="R568" s="419"/>
      <c r="S568" s="420"/>
      <c r="T568" s="421"/>
      <c r="U568" s="420"/>
      <c r="V568" s="422"/>
      <c r="W568" s="597"/>
      <c r="X568" s="598"/>
      <c r="Y568" s="599"/>
      <c r="Z568" s="600"/>
      <c r="AA568" s="599"/>
      <c r="AB568" s="601"/>
      <c r="AC568" s="781"/>
      <c r="AD568" s="782"/>
      <c r="AE568" s="783"/>
      <c r="AF568" s="784"/>
      <c r="AG568" s="783"/>
      <c r="AH568" s="957"/>
      <c r="AI568" s="913" t="s">
        <v>2235</v>
      </c>
    </row>
    <row r="569" spans="1:35" ht="26.25" x14ac:dyDescent="0.25">
      <c r="A569" s="18" t="s">
        <v>2257</v>
      </c>
      <c r="B569" s="19" t="s">
        <v>40</v>
      </c>
      <c r="C569" s="19" t="s">
        <v>2226</v>
      </c>
      <c r="D569" s="19" t="s">
        <v>2227</v>
      </c>
      <c r="E569" s="19" t="s">
        <v>2258</v>
      </c>
      <c r="F569" s="20"/>
      <c r="G569" s="21" t="s">
        <v>2259</v>
      </c>
      <c r="H569" s="18" t="s">
        <v>975</v>
      </c>
      <c r="I569" s="19" t="s">
        <v>89</v>
      </c>
      <c r="J569" s="210"/>
      <c r="K569" s="250"/>
      <c r="L569" s="251"/>
      <c r="M569" s="252"/>
      <c r="N569" s="253"/>
      <c r="O569" s="252"/>
      <c r="P569" s="254"/>
      <c r="Q569" s="418"/>
      <c r="R569" s="419"/>
      <c r="S569" s="420"/>
      <c r="T569" s="421"/>
      <c r="U569" s="420"/>
      <c r="V569" s="422"/>
      <c r="W569" s="597"/>
      <c r="X569" s="598"/>
      <c r="Y569" s="599"/>
      <c r="Z569" s="600"/>
      <c r="AA569" s="599"/>
      <c r="AB569" s="601"/>
      <c r="AC569" s="781"/>
      <c r="AD569" s="782"/>
      <c r="AE569" s="783"/>
      <c r="AF569" s="784"/>
      <c r="AG569" s="783"/>
      <c r="AH569" s="957"/>
      <c r="AI569" s="913" t="s">
        <v>2260</v>
      </c>
    </row>
    <row r="570" spans="1:35" ht="26.25" x14ac:dyDescent="0.25">
      <c r="A570" s="18" t="s">
        <v>2261</v>
      </c>
      <c r="B570" s="19" t="s">
        <v>40</v>
      </c>
      <c r="C570" s="19" t="s">
        <v>2226</v>
      </c>
      <c r="D570" s="19" t="s">
        <v>2227</v>
      </c>
      <c r="E570" s="19" t="s">
        <v>1922</v>
      </c>
      <c r="F570" s="20"/>
      <c r="G570" s="21" t="s">
        <v>2262</v>
      </c>
      <c r="H570" s="18" t="s">
        <v>975</v>
      </c>
      <c r="I570" s="19" t="s">
        <v>89</v>
      </c>
      <c r="J570" s="210"/>
      <c r="K570" s="250"/>
      <c r="L570" s="251"/>
      <c r="M570" s="252"/>
      <c r="N570" s="253"/>
      <c r="O570" s="252"/>
      <c r="P570" s="254"/>
      <c r="Q570" s="418"/>
      <c r="R570" s="419"/>
      <c r="S570" s="420"/>
      <c r="T570" s="421"/>
      <c r="U570" s="420"/>
      <c r="V570" s="422"/>
      <c r="W570" s="597"/>
      <c r="X570" s="598"/>
      <c r="Y570" s="599"/>
      <c r="Z570" s="600"/>
      <c r="AA570" s="599"/>
      <c r="AB570" s="601"/>
      <c r="AC570" s="781"/>
      <c r="AD570" s="782"/>
      <c r="AE570" s="783"/>
      <c r="AF570" s="784"/>
      <c r="AG570" s="783"/>
      <c r="AH570" s="957"/>
      <c r="AI570" s="913" t="s">
        <v>2263</v>
      </c>
    </row>
    <row r="571" spans="1:35" ht="26.25" x14ac:dyDescent="0.25">
      <c r="A571" s="18" t="s">
        <v>2264</v>
      </c>
      <c r="B571" s="19" t="s">
        <v>40</v>
      </c>
      <c r="C571" s="19" t="s">
        <v>2226</v>
      </c>
      <c r="D571" s="19" t="s">
        <v>2227</v>
      </c>
      <c r="E571" s="19" t="s">
        <v>1934</v>
      </c>
      <c r="F571" s="20"/>
      <c r="G571" s="21" t="s">
        <v>2265</v>
      </c>
      <c r="H571" s="18" t="s">
        <v>2266</v>
      </c>
      <c r="I571" s="19" t="s">
        <v>89</v>
      </c>
      <c r="J571" s="210"/>
      <c r="K571" s="250"/>
      <c r="L571" s="251"/>
      <c r="M571" s="252"/>
      <c r="N571" s="253"/>
      <c r="O571" s="252"/>
      <c r="P571" s="254"/>
      <c r="Q571" s="418"/>
      <c r="R571" s="419"/>
      <c r="S571" s="420"/>
      <c r="T571" s="421"/>
      <c r="U571" s="420"/>
      <c r="V571" s="422"/>
      <c r="W571" s="597"/>
      <c r="X571" s="598"/>
      <c r="Y571" s="599"/>
      <c r="Z571" s="600"/>
      <c r="AA571" s="599"/>
      <c r="AB571" s="601"/>
      <c r="AC571" s="781"/>
      <c r="AD571" s="782"/>
      <c r="AE571" s="783"/>
      <c r="AF571" s="784"/>
      <c r="AG571" s="783"/>
      <c r="AH571" s="957"/>
      <c r="AI571" s="913" t="s">
        <v>2267</v>
      </c>
    </row>
    <row r="572" spans="1:35" ht="26.25" x14ac:dyDescent="0.25">
      <c r="A572" s="18" t="s">
        <v>2268</v>
      </c>
      <c r="B572" s="19" t="s">
        <v>40</v>
      </c>
      <c r="C572" s="19" t="s">
        <v>2226</v>
      </c>
      <c r="D572" s="19" t="s">
        <v>2227</v>
      </c>
      <c r="E572" s="19" t="s">
        <v>814</v>
      </c>
      <c r="F572" s="20"/>
      <c r="G572" s="21" t="s">
        <v>2269</v>
      </c>
      <c r="H572" s="18" t="s">
        <v>2270</v>
      </c>
      <c r="I572" s="19" t="s">
        <v>1519</v>
      </c>
      <c r="J572" s="210"/>
      <c r="K572" s="250"/>
      <c r="L572" s="251"/>
      <c r="M572" s="252"/>
      <c r="N572" s="253"/>
      <c r="O572" s="252"/>
      <c r="P572" s="254"/>
      <c r="Q572" s="418"/>
      <c r="R572" s="419"/>
      <c r="S572" s="420"/>
      <c r="T572" s="421"/>
      <c r="U572" s="420"/>
      <c r="V572" s="422"/>
      <c r="W572" s="597"/>
      <c r="X572" s="598"/>
      <c r="Y572" s="599"/>
      <c r="Z572" s="600"/>
      <c r="AA572" s="599"/>
      <c r="AB572" s="601"/>
      <c r="AC572" s="781"/>
      <c r="AD572" s="782"/>
      <c r="AE572" s="783"/>
      <c r="AF572" s="784"/>
      <c r="AG572" s="783"/>
      <c r="AH572" s="957"/>
      <c r="AI572" s="913" t="s">
        <v>2242</v>
      </c>
    </row>
    <row r="573" spans="1:35" ht="51.75" x14ac:dyDescent="0.25">
      <c r="A573" s="18" t="s">
        <v>2271</v>
      </c>
      <c r="B573" s="19" t="s">
        <v>40</v>
      </c>
      <c r="C573" s="19" t="s">
        <v>2226</v>
      </c>
      <c r="D573" s="19" t="s">
        <v>2227</v>
      </c>
      <c r="E573" s="19" t="s">
        <v>2272</v>
      </c>
      <c r="F573" s="20"/>
      <c r="G573" s="21" t="s">
        <v>2272</v>
      </c>
      <c r="H573" s="18" t="s">
        <v>2229</v>
      </c>
      <c r="I573" s="19" t="s">
        <v>2273</v>
      </c>
      <c r="J573" s="210"/>
      <c r="K573" s="250"/>
      <c r="L573" s="251"/>
      <c r="M573" s="252"/>
      <c r="N573" s="253"/>
      <c r="O573" s="252"/>
      <c r="P573" s="254"/>
      <c r="Q573" s="418"/>
      <c r="R573" s="419"/>
      <c r="S573" s="420"/>
      <c r="T573" s="421"/>
      <c r="U573" s="420"/>
      <c r="V573" s="422"/>
      <c r="W573" s="597"/>
      <c r="X573" s="598"/>
      <c r="Y573" s="599"/>
      <c r="Z573" s="600"/>
      <c r="AA573" s="599"/>
      <c r="AB573" s="601"/>
      <c r="AC573" s="781"/>
      <c r="AD573" s="782"/>
      <c r="AE573" s="783"/>
      <c r="AF573" s="784"/>
      <c r="AG573" s="783"/>
      <c r="AH573" s="957"/>
      <c r="AI573" s="913" t="s">
        <v>2274</v>
      </c>
    </row>
    <row r="574" spans="1:35" ht="26.25" x14ac:dyDescent="0.25">
      <c r="A574" s="18" t="s">
        <v>2275</v>
      </c>
      <c r="B574" s="19" t="s">
        <v>40</v>
      </c>
      <c r="C574" s="19" t="s">
        <v>2226</v>
      </c>
      <c r="D574" s="19" t="s">
        <v>2227</v>
      </c>
      <c r="E574" s="19" t="s">
        <v>2276</v>
      </c>
      <c r="F574" s="20"/>
      <c r="G574" s="21" t="s">
        <v>2277</v>
      </c>
      <c r="H574" s="18" t="s">
        <v>2229</v>
      </c>
      <c r="I574" s="19" t="s">
        <v>432</v>
      </c>
      <c r="J574" s="210"/>
      <c r="K574" s="250"/>
      <c r="L574" s="251"/>
      <c r="M574" s="252"/>
      <c r="N574" s="253"/>
      <c r="O574" s="252"/>
      <c r="P574" s="254"/>
      <c r="Q574" s="418"/>
      <c r="R574" s="419"/>
      <c r="S574" s="420"/>
      <c r="T574" s="421"/>
      <c r="U574" s="420"/>
      <c r="V574" s="422"/>
      <c r="W574" s="597"/>
      <c r="X574" s="598"/>
      <c r="Y574" s="599"/>
      <c r="Z574" s="600"/>
      <c r="AA574" s="599"/>
      <c r="AB574" s="601"/>
      <c r="AC574" s="781"/>
      <c r="AD574" s="782"/>
      <c r="AE574" s="783"/>
      <c r="AF574" s="784"/>
      <c r="AG574" s="783"/>
      <c r="AH574" s="957"/>
      <c r="AI574" s="913" t="s">
        <v>2278</v>
      </c>
    </row>
    <row r="575" spans="1:35" ht="26.25" x14ac:dyDescent="0.25">
      <c r="A575" s="18" t="s">
        <v>2279</v>
      </c>
      <c r="B575" s="19" t="s">
        <v>40</v>
      </c>
      <c r="C575" s="19" t="s">
        <v>2226</v>
      </c>
      <c r="D575" s="19" t="s">
        <v>2227</v>
      </c>
      <c r="E575" s="19" t="s">
        <v>2280</v>
      </c>
      <c r="F575" s="20"/>
      <c r="G575" s="21" t="s">
        <v>2281</v>
      </c>
      <c r="H575" s="18" t="s">
        <v>2266</v>
      </c>
      <c r="I575" s="19" t="s">
        <v>1519</v>
      </c>
      <c r="J575" s="210"/>
      <c r="K575" s="250"/>
      <c r="L575" s="251"/>
      <c r="M575" s="252"/>
      <c r="N575" s="253"/>
      <c r="O575" s="252"/>
      <c r="P575" s="254"/>
      <c r="Q575" s="418"/>
      <c r="R575" s="419"/>
      <c r="S575" s="420"/>
      <c r="T575" s="421"/>
      <c r="U575" s="420"/>
      <c r="V575" s="422"/>
      <c r="W575" s="597"/>
      <c r="X575" s="598"/>
      <c r="Y575" s="599"/>
      <c r="Z575" s="600"/>
      <c r="AA575" s="599"/>
      <c r="AB575" s="601"/>
      <c r="AC575" s="781"/>
      <c r="AD575" s="782"/>
      <c r="AE575" s="783"/>
      <c r="AF575" s="784"/>
      <c r="AG575" s="783"/>
      <c r="AH575" s="957"/>
      <c r="AI575" s="913" t="s">
        <v>2260</v>
      </c>
    </row>
    <row r="576" spans="1:35" ht="26.25" x14ac:dyDescent="0.25">
      <c r="A576" s="18" t="s">
        <v>2282</v>
      </c>
      <c r="B576" s="19" t="s">
        <v>40</v>
      </c>
      <c r="C576" s="19" t="s">
        <v>2226</v>
      </c>
      <c r="D576" s="19" t="s">
        <v>2227</v>
      </c>
      <c r="E576" s="19" t="s">
        <v>2283</v>
      </c>
      <c r="F576" s="20"/>
      <c r="G576" s="21" t="s">
        <v>2284</v>
      </c>
      <c r="H576" s="18" t="s">
        <v>975</v>
      </c>
      <c r="I576" s="19" t="s">
        <v>89</v>
      </c>
      <c r="J576" s="210"/>
      <c r="K576" s="250"/>
      <c r="L576" s="251"/>
      <c r="M576" s="252"/>
      <c r="N576" s="253"/>
      <c r="O576" s="252"/>
      <c r="P576" s="254"/>
      <c r="Q576" s="418"/>
      <c r="R576" s="419"/>
      <c r="S576" s="420"/>
      <c r="T576" s="421"/>
      <c r="U576" s="420"/>
      <c r="V576" s="422"/>
      <c r="W576" s="597"/>
      <c r="X576" s="598"/>
      <c r="Y576" s="599"/>
      <c r="Z576" s="600"/>
      <c r="AA576" s="599"/>
      <c r="AB576" s="601"/>
      <c r="AC576" s="781"/>
      <c r="AD576" s="782"/>
      <c r="AE576" s="783"/>
      <c r="AF576" s="784"/>
      <c r="AG576" s="783"/>
      <c r="AH576" s="957"/>
      <c r="AI576" s="913" t="s">
        <v>2235</v>
      </c>
    </row>
    <row r="577" spans="1:35" ht="30" x14ac:dyDescent="0.25">
      <c r="A577" s="27" t="s">
        <v>2285</v>
      </c>
      <c r="B577" s="28" t="s">
        <v>40</v>
      </c>
      <c r="C577" s="28" t="s">
        <v>2226</v>
      </c>
      <c r="D577" s="28" t="s">
        <v>2227</v>
      </c>
      <c r="E577" s="28"/>
      <c r="F577" s="29" t="s">
        <v>2227</v>
      </c>
      <c r="G577" s="30" t="s">
        <v>2227</v>
      </c>
      <c r="H577" s="27" t="s">
        <v>2286</v>
      </c>
      <c r="I577" s="28" t="s">
        <v>2287</v>
      </c>
      <c r="J577" s="211"/>
      <c r="K577" s="261">
        <v>1210</v>
      </c>
      <c r="L577" s="262" t="s">
        <v>2288</v>
      </c>
      <c r="M577" s="266">
        <f>(1051917/800)-K577</f>
        <v>104.89625000000001</v>
      </c>
      <c r="N577" s="267">
        <f>869/800</f>
        <v>1.0862499999999999</v>
      </c>
      <c r="O577" s="266">
        <f>(1051917/600)-K577</f>
        <v>543.19499999999994</v>
      </c>
      <c r="P577" s="268">
        <f>869/600</f>
        <v>1.4483333333333333</v>
      </c>
      <c r="Q577" s="431">
        <v>778</v>
      </c>
      <c r="R577" s="432" t="s">
        <v>2289</v>
      </c>
      <c r="S577" s="455">
        <f>(578592/800)-Q577</f>
        <v>-54.759999999999991</v>
      </c>
      <c r="T577" s="456">
        <f>744/800</f>
        <v>0.93</v>
      </c>
      <c r="U577" s="455">
        <f>(578592/600)-Q577</f>
        <v>186.32000000000005</v>
      </c>
      <c r="V577" s="457">
        <f>744/600</f>
        <v>1.24</v>
      </c>
      <c r="W577" s="611">
        <v>172</v>
      </c>
      <c r="X577" s="612" t="s">
        <v>2290</v>
      </c>
      <c r="Y577" s="627">
        <f>(189789/800)-W577</f>
        <v>65.236250000000013</v>
      </c>
      <c r="Z577" s="642">
        <f>1103/800</f>
        <v>1.3787499999999999</v>
      </c>
      <c r="AA577" s="627">
        <f>(189789/600)-W577</f>
        <v>144.315</v>
      </c>
      <c r="AB577" s="643">
        <f>1103/600</f>
        <v>1.8383333333333334</v>
      </c>
      <c r="AC577" s="792">
        <v>260</v>
      </c>
      <c r="AD577" s="793" t="s">
        <v>2291</v>
      </c>
      <c r="AE577" s="799">
        <f>(263509/800)-AC577</f>
        <v>69.386250000000018</v>
      </c>
      <c r="AF577" s="817">
        <f>1013/800</f>
        <v>1.2662500000000001</v>
      </c>
      <c r="AG577" s="799">
        <f>(263509/600)-AC577</f>
        <v>179.18166666666667</v>
      </c>
      <c r="AH577" s="968">
        <f>1013/600</f>
        <v>1.6883333333333332</v>
      </c>
      <c r="AI577" s="915" t="s">
        <v>2292</v>
      </c>
    </row>
    <row r="578" spans="1:35" ht="51.75" x14ac:dyDescent="0.25">
      <c r="A578" s="118" t="s">
        <v>2293</v>
      </c>
      <c r="B578" s="119" t="s">
        <v>40</v>
      </c>
      <c r="C578" s="119" t="s">
        <v>2226</v>
      </c>
      <c r="D578" s="119" t="s">
        <v>2227</v>
      </c>
      <c r="E578" s="119"/>
      <c r="F578" s="119" t="s">
        <v>2294</v>
      </c>
      <c r="G578" s="114" t="s">
        <v>1262</v>
      </c>
      <c r="H578" s="118"/>
      <c r="I578" s="119"/>
      <c r="J578" s="214"/>
      <c r="K578" s="289"/>
      <c r="L578" s="290"/>
      <c r="M578" s="376"/>
      <c r="N578" s="377"/>
      <c r="O578" s="376"/>
      <c r="P578" s="257"/>
      <c r="Q578" s="553"/>
      <c r="R578" s="554"/>
      <c r="S578" s="555"/>
      <c r="T578" s="437"/>
      <c r="U578" s="555"/>
      <c r="V578" s="438"/>
      <c r="W578" s="607"/>
      <c r="X578" s="603"/>
      <c r="Y578" s="736"/>
      <c r="Z578" s="737"/>
      <c r="AA578" s="736"/>
      <c r="AB578" s="606"/>
      <c r="AC578" s="789"/>
      <c r="AD578" s="786"/>
      <c r="AE578" s="888"/>
      <c r="AF578" s="889"/>
      <c r="AG578" s="888"/>
      <c r="AH578" s="889"/>
      <c r="AI578" s="932"/>
    </row>
    <row r="579" spans="1:35" ht="64.5" x14ac:dyDescent="0.25">
      <c r="A579" s="118" t="s">
        <v>2295</v>
      </c>
      <c r="B579" s="119" t="s">
        <v>40</v>
      </c>
      <c r="C579" s="119" t="s">
        <v>2226</v>
      </c>
      <c r="D579" s="119" t="s">
        <v>2296</v>
      </c>
      <c r="E579" s="119"/>
      <c r="F579" s="119" t="s">
        <v>2297</v>
      </c>
      <c r="G579" s="114" t="s">
        <v>1262</v>
      </c>
      <c r="H579" s="118"/>
      <c r="I579" s="119"/>
      <c r="J579" s="214"/>
      <c r="K579" s="289"/>
      <c r="L579" s="290"/>
      <c r="M579" s="376"/>
      <c r="N579" s="377"/>
      <c r="O579" s="376"/>
      <c r="P579" s="257"/>
      <c r="Q579" s="553"/>
      <c r="R579" s="554"/>
      <c r="S579" s="555"/>
      <c r="T579" s="437"/>
      <c r="U579" s="555"/>
      <c r="V579" s="438"/>
      <c r="W579" s="607"/>
      <c r="X579" s="603"/>
      <c r="Y579" s="736"/>
      <c r="Z579" s="737"/>
      <c r="AA579" s="736"/>
      <c r="AB579" s="606"/>
      <c r="AC579" s="789"/>
      <c r="AD579" s="786"/>
      <c r="AE579" s="888"/>
      <c r="AF579" s="889"/>
      <c r="AG579" s="888"/>
      <c r="AH579" s="889"/>
      <c r="AI579" s="932"/>
    </row>
    <row r="580" spans="1:35" ht="65.25" thickBot="1" x14ac:dyDescent="0.3">
      <c r="A580" s="96" t="s">
        <v>2298</v>
      </c>
      <c r="B580" s="97" t="s">
        <v>40</v>
      </c>
      <c r="C580" s="97" t="s">
        <v>2226</v>
      </c>
      <c r="D580" s="97" t="s">
        <v>2299</v>
      </c>
      <c r="E580" s="97"/>
      <c r="F580" s="97" t="s">
        <v>2300</v>
      </c>
      <c r="G580" s="185" t="s">
        <v>1262</v>
      </c>
      <c r="H580" s="96"/>
      <c r="I580" s="97"/>
      <c r="J580" s="217"/>
      <c r="K580" s="308"/>
      <c r="L580" s="309"/>
      <c r="M580" s="378"/>
      <c r="N580" s="379"/>
      <c r="O580" s="378"/>
      <c r="P580" s="380"/>
      <c r="Q580" s="556"/>
      <c r="R580" s="557"/>
      <c r="S580" s="558"/>
      <c r="T580" s="559"/>
      <c r="U580" s="558"/>
      <c r="V580" s="560"/>
      <c r="W580" s="667"/>
      <c r="X580" s="668"/>
      <c r="Y580" s="738"/>
      <c r="Z580" s="739"/>
      <c r="AA580" s="738"/>
      <c r="AB580" s="740"/>
      <c r="AC580" s="832"/>
      <c r="AD580" s="833"/>
      <c r="AE580" s="890"/>
      <c r="AF580" s="891"/>
      <c r="AG580" s="890"/>
      <c r="AH580" s="891"/>
      <c r="AI580" s="928"/>
    </row>
    <row r="581" spans="1:35" ht="65.25" thickBot="1" x14ac:dyDescent="0.3">
      <c r="A581" s="186" t="s">
        <v>2301</v>
      </c>
      <c r="B581" s="187" t="s">
        <v>40</v>
      </c>
      <c r="C581" s="187" t="s">
        <v>2226</v>
      </c>
      <c r="D581" s="187" t="s">
        <v>2302</v>
      </c>
      <c r="E581" s="187"/>
      <c r="F581" s="188" t="s">
        <v>1291</v>
      </c>
      <c r="G581" s="189" t="s">
        <v>2302</v>
      </c>
      <c r="H581" s="186" t="s">
        <v>2303</v>
      </c>
      <c r="I581" s="187" t="s">
        <v>383</v>
      </c>
      <c r="J581" s="224"/>
      <c r="K581" s="344"/>
      <c r="L581" s="345"/>
      <c r="M581" s="346"/>
      <c r="N581" s="347"/>
      <c r="O581" s="346"/>
      <c r="P581" s="348"/>
      <c r="Q581" s="519"/>
      <c r="R581" s="520"/>
      <c r="S581" s="521"/>
      <c r="T581" s="522"/>
      <c r="U581" s="521"/>
      <c r="V581" s="523"/>
      <c r="W581" s="703"/>
      <c r="X581" s="704"/>
      <c r="Y581" s="705"/>
      <c r="Z581" s="706"/>
      <c r="AA581" s="705"/>
      <c r="AB581" s="707"/>
      <c r="AC581" s="861"/>
      <c r="AD581" s="862"/>
      <c r="AE581" s="863"/>
      <c r="AF581" s="864"/>
      <c r="AG581" s="863"/>
      <c r="AH581" s="980"/>
      <c r="AI581" s="948" t="s">
        <v>2304</v>
      </c>
    </row>
    <row r="582" spans="1:35" ht="51.75" x14ac:dyDescent="0.25">
      <c r="A582" s="110" t="s">
        <v>2305</v>
      </c>
      <c r="B582" s="111" t="s">
        <v>40</v>
      </c>
      <c r="C582" s="111" t="s">
        <v>1785</v>
      </c>
      <c r="D582" s="111" t="s">
        <v>2306</v>
      </c>
      <c r="E582" s="111"/>
      <c r="F582" s="112" t="s">
        <v>2307</v>
      </c>
      <c r="G582" s="113" t="s">
        <v>1262</v>
      </c>
      <c r="H582" s="110"/>
      <c r="I582" s="111"/>
      <c r="J582" s="210"/>
      <c r="K582" s="250"/>
      <c r="L582" s="251"/>
      <c r="M582" s="252"/>
      <c r="N582" s="253"/>
      <c r="O582" s="252"/>
      <c r="P582" s="254"/>
      <c r="Q582" s="418"/>
      <c r="R582" s="419"/>
      <c r="S582" s="420"/>
      <c r="T582" s="421"/>
      <c r="U582" s="420"/>
      <c r="V582" s="422"/>
      <c r="W582" s="597"/>
      <c r="X582" s="598"/>
      <c r="Y582" s="599"/>
      <c r="Z582" s="600"/>
      <c r="AA582" s="599"/>
      <c r="AB582" s="601"/>
      <c r="AC582" s="781"/>
      <c r="AD582" s="782"/>
      <c r="AE582" s="783"/>
      <c r="AF582" s="784"/>
      <c r="AG582" s="783"/>
      <c r="AH582" s="957"/>
      <c r="AI582" s="931"/>
    </row>
    <row r="583" spans="1:35" ht="45" x14ac:dyDescent="0.25">
      <c r="A583" s="158" t="s">
        <v>2308</v>
      </c>
      <c r="B583" s="159" t="s">
        <v>40</v>
      </c>
      <c r="C583" s="159" t="s">
        <v>2309</v>
      </c>
      <c r="D583" s="159" t="s">
        <v>2310</v>
      </c>
      <c r="E583" s="159"/>
      <c r="F583" s="160" t="s">
        <v>2311</v>
      </c>
      <c r="G583" s="161" t="s">
        <v>2312</v>
      </c>
      <c r="H583" s="158" t="s">
        <v>1750</v>
      </c>
      <c r="I583" s="159" t="s">
        <v>383</v>
      </c>
      <c r="J583" s="225"/>
      <c r="K583" s="349" t="s">
        <v>229</v>
      </c>
      <c r="L583" s="350" t="s">
        <v>230</v>
      </c>
      <c r="M583" s="351">
        <f>(1051917/3000)-K583</f>
        <v>297.63900000000001</v>
      </c>
      <c r="N583" s="352">
        <f>19847/3000</f>
        <v>6.6156666666666668</v>
      </c>
      <c r="O583" s="351">
        <f>(1051917/2000)-K583</f>
        <v>472.95849999999996</v>
      </c>
      <c r="P583" s="353">
        <f>19847/2000</f>
        <v>9.9235000000000007</v>
      </c>
      <c r="Q583" s="524" t="s">
        <v>980</v>
      </c>
      <c r="R583" s="525" t="s">
        <v>1457</v>
      </c>
      <c r="S583" s="526">
        <f>(578592/3000)-Q583</f>
        <v>165.864</v>
      </c>
      <c r="T583" s="527">
        <f>21429/3000</f>
        <v>7.1429999999999998</v>
      </c>
      <c r="U583" s="526">
        <f>(578592/2000)-Q583</f>
        <v>262.29599999999999</v>
      </c>
      <c r="V583" s="528">
        <f>21429/2000</f>
        <v>10.714499999999999</v>
      </c>
      <c r="W583" s="708" t="s">
        <v>674</v>
      </c>
      <c r="X583" s="709" t="s">
        <v>680</v>
      </c>
      <c r="Y583" s="741">
        <f>(189789/3000)-W583</f>
        <v>51.262999999999998</v>
      </c>
      <c r="Z583" s="742">
        <f>15815/3000</f>
        <v>5.2716666666666665</v>
      </c>
      <c r="AA583" s="741">
        <f>(189789/2000)-W583</f>
        <v>82.894499999999994</v>
      </c>
      <c r="AB583" s="743">
        <f>15815/2000</f>
        <v>7.9074999999999998</v>
      </c>
      <c r="AC583" s="865" t="s">
        <v>1024</v>
      </c>
      <c r="AD583" s="866" t="s">
        <v>2313</v>
      </c>
      <c r="AE583" s="867">
        <f>(263509/3000)-AC583</f>
        <v>73.836333333333329</v>
      </c>
      <c r="AF583" s="868">
        <f>18822/3000</f>
        <v>6.274</v>
      </c>
      <c r="AG583" s="867">
        <f>(263509/2000)-AC583</f>
        <v>117.75450000000001</v>
      </c>
      <c r="AH583" s="981">
        <f>18822/2000</f>
        <v>9.4109999999999996</v>
      </c>
      <c r="AI583" s="940" t="s">
        <v>2314</v>
      </c>
    </row>
    <row r="584" spans="1:35" ht="64.5" x14ac:dyDescent="0.25">
      <c r="A584" s="32" t="s">
        <v>2315</v>
      </c>
      <c r="B584" s="33" t="s">
        <v>40</v>
      </c>
      <c r="C584" s="33" t="s">
        <v>2309</v>
      </c>
      <c r="D584" s="33" t="s">
        <v>2316</v>
      </c>
      <c r="E584" s="33"/>
      <c r="F584" s="34" t="s">
        <v>1291</v>
      </c>
      <c r="G584" s="35" t="s">
        <v>2316</v>
      </c>
      <c r="H584" s="32" t="s">
        <v>2317</v>
      </c>
      <c r="I584" s="33" t="s">
        <v>748</v>
      </c>
      <c r="J584" s="210"/>
      <c r="K584" s="250"/>
      <c r="L584" s="251"/>
      <c r="M584" s="252"/>
      <c r="N584" s="253"/>
      <c r="O584" s="252"/>
      <c r="P584" s="254"/>
      <c r="Q584" s="418"/>
      <c r="R584" s="419"/>
      <c r="S584" s="420"/>
      <c r="T584" s="421"/>
      <c r="U584" s="420"/>
      <c r="V584" s="422"/>
      <c r="W584" s="597"/>
      <c r="X584" s="598"/>
      <c r="Y584" s="599"/>
      <c r="Z584" s="600"/>
      <c r="AA584" s="599"/>
      <c r="AB584" s="601"/>
      <c r="AC584" s="781"/>
      <c r="AD584" s="782"/>
      <c r="AE584" s="783"/>
      <c r="AF584" s="784"/>
      <c r="AG584" s="783"/>
      <c r="AH584" s="957"/>
      <c r="AI584" s="916"/>
    </row>
    <row r="585" spans="1:35" ht="26.25" x14ac:dyDescent="0.25">
      <c r="A585" s="18" t="s">
        <v>2318</v>
      </c>
      <c r="B585" s="19" t="s">
        <v>40</v>
      </c>
      <c r="C585" s="19" t="s">
        <v>2309</v>
      </c>
      <c r="D585" s="19" t="s">
        <v>2319</v>
      </c>
      <c r="E585" s="19" t="s">
        <v>2320</v>
      </c>
      <c r="F585" s="20" t="s">
        <v>2321</v>
      </c>
      <c r="G585" s="21" t="s">
        <v>2322</v>
      </c>
      <c r="H585" s="18" t="s">
        <v>1998</v>
      </c>
      <c r="I585" s="19" t="s">
        <v>2323</v>
      </c>
      <c r="J585" s="210"/>
      <c r="K585" s="250"/>
      <c r="L585" s="251"/>
      <c r="M585" s="252"/>
      <c r="N585" s="253"/>
      <c r="O585" s="252"/>
      <c r="P585" s="254"/>
      <c r="Q585" s="418"/>
      <c r="R585" s="419"/>
      <c r="S585" s="420"/>
      <c r="T585" s="421"/>
      <c r="U585" s="420"/>
      <c r="V585" s="422"/>
      <c r="W585" s="597"/>
      <c r="X585" s="598"/>
      <c r="Y585" s="599"/>
      <c r="Z585" s="600"/>
      <c r="AA585" s="599"/>
      <c r="AB585" s="601"/>
      <c r="AC585" s="781"/>
      <c r="AD585" s="782"/>
      <c r="AE585" s="783"/>
      <c r="AF585" s="784"/>
      <c r="AG585" s="783"/>
      <c r="AH585" s="957"/>
      <c r="AI585" s="913"/>
    </row>
    <row r="586" spans="1:35" ht="26.25" x14ac:dyDescent="0.25">
      <c r="A586" s="18" t="s">
        <v>2324</v>
      </c>
      <c r="B586" s="19" t="s">
        <v>40</v>
      </c>
      <c r="C586" s="19" t="s">
        <v>2309</v>
      </c>
      <c r="D586" s="19" t="s">
        <v>2319</v>
      </c>
      <c r="E586" s="19" t="s">
        <v>2325</v>
      </c>
      <c r="F586" s="20" t="s">
        <v>2326</v>
      </c>
      <c r="G586" s="21" t="s">
        <v>2327</v>
      </c>
      <c r="H586" s="18" t="s">
        <v>331</v>
      </c>
      <c r="I586" s="19" t="s">
        <v>89</v>
      </c>
      <c r="J586" s="210"/>
      <c r="K586" s="250" t="s">
        <v>633</v>
      </c>
      <c r="L586" s="251" t="s">
        <v>2328</v>
      </c>
      <c r="M586" s="295">
        <f>(1051917/100000)-K586</f>
        <v>-4.4808299999999992</v>
      </c>
      <c r="N586" s="296">
        <f>70127/1000000</f>
        <v>7.0126999999999995E-2</v>
      </c>
      <c r="O586" s="295">
        <f>(1051917/50000)-K586</f>
        <v>6.0383400000000016</v>
      </c>
      <c r="P586" s="297">
        <f>70127/50000</f>
        <v>1.4025399999999999</v>
      </c>
      <c r="Q586" s="418" t="s">
        <v>1236</v>
      </c>
      <c r="R586" s="419" t="s">
        <v>2329</v>
      </c>
      <c r="S586" s="467">
        <f>(578592/100000)-Q586</f>
        <v>-4.21408</v>
      </c>
      <c r="T586" s="468">
        <f>57859/100000</f>
        <v>0.57859000000000005</v>
      </c>
      <c r="U586" s="467">
        <f>(578592/50000)-Q586</f>
        <v>1.5718399999999999</v>
      </c>
      <c r="V586" s="469">
        <f>57859/50000</f>
        <v>1.1571800000000001</v>
      </c>
      <c r="W586" s="597" t="s">
        <v>116</v>
      </c>
      <c r="X586" s="598" t="s">
        <v>1110</v>
      </c>
      <c r="Y586" s="647">
        <f>(189789/100000)-W586</f>
        <v>-3.1021099999999997</v>
      </c>
      <c r="Z586" s="648">
        <f>37957/100000</f>
        <v>0.37957000000000002</v>
      </c>
      <c r="AA586" s="647">
        <f>(189789/50000)-W586</f>
        <v>-1.2042199999999998</v>
      </c>
      <c r="AB586" s="649">
        <f>37957/50000</f>
        <v>0.75914000000000004</v>
      </c>
      <c r="AC586" s="796" t="s">
        <v>60</v>
      </c>
      <c r="AD586" s="782" t="s">
        <v>61</v>
      </c>
      <c r="AE586" s="804">
        <f>(263509/100000)-AC586</f>
        <v>2.6350899999999999</v>
      </c>
      <c r="AF586" s="805" t="s">
        <v>61</v>
      </c>
      <c r="AG586" s="804">
        <f>(263509/50000)-AC586</f>
        <v>5.2701799999999999</v>
      </c>
      <c r="AH586" s="964" t="s">
        <v>61</v>
      </c>
      <c r="AI586" s="913"/>
    </row>
    <row r="587" spans="1:35" ht="26.25" x14ac:dyDescent="0.25">
      <c r="A587" s="18" t="s">
        <v>2330</v>
      </c>
      <c r="B587" s="19" t="s">
        <v>40</v>
      </c>
      <c r="C587" s="19" t="s">
        <v>2309</v>
      </c>
      <c r="D587" s="19" t="s">
        <v>2319</v>
      </c>
      <c r="E587" s="19" t="s">
        <v>2331</v>
      </c>
      <c r="F587" s="20"/>
      <c r="G587" s="21" t="s">
        <v>2332</v>
      </c>
      <c r="H587" s="18" t="s">
        <v>331</v>
      </c>
      <c r="I587" s="19" t="s">
        <v>89</v>
      </c>
      <c r="J587" s="210"/>
      <c r="K587" s="250"/>
      <c r="L587" s="251"/>
      <c r="M587" s="252"/>
      <c r="N587" s="253"/>
      <c r="O587" s="252"/>
      <c r="P587" s="254"/>
      <c r="Q587" s="418"/>
      <c r="R587" s="419"/>
      <c r="S587" s="420"/>
      <c r="T587" s="421"/>
      <c r="U587" s="420"/>
      <c r="V587" s="422"/>
      <c r="W587" s="597"/>
      <c r="X587" s="598"/>
      <c r="Y587" s="599"/>
      <c r="Z587" s="600"/>
      <c r="AA587" s="599"/>
      <c r="AB587" s="601"/>
      <c r="AC587" s="781"/>
      <c r="AD587" s="782"/>
      <c r="AE587" s="783"/>
      <c r="AF587" s="784"/>
      <c r="AG587" s="783"/>
      <c r="AH587" s="957"/>
      <c r="AI587" s="913"/>
    </row>
    <row r="588" spans="1:35" ht="51.75" x14ac:dyDescent="0.25">
      <c r="A588" s="18" t="s">
        <v>2333</v>
      </c>
      <c r="B588" s="19" t="s">
        <v>40</v>
      </c>
      <c r="C588" s="19" t="s">
        <v>2309</v>
      </c>
      <c r="D588" s="19" t="s">
        <v>2319</v>
      </c>
      <c r="E588" s="19" t="s">
        <v>2334</v>
      </c>
      <c r="F588" s="20" t="s">
        <v>2335</v>
      </c>
      <c r="G588" s="21" t="s">
        <v>2336</v>
      </c>
      <c r="H588" s="18" t="s">
        <v>1853</v>
      </c>
      <c r="I588" s="19" t="s">
        <v>822</v>
      </c>
      <c r="J588" s="210"/>
      <c r="K588" s="250" t="s">
        <v>57</v>
      </c>
      <c r="L588" s="251" t="s">
        <v>58</v>
      </c>
      <c r="M588" s="279">
        <f>(1051917/250000)-K588</f>
        <v>2.207668</v>
      </c>
      <c r="N588" s="280">
        <f>525958/250000</f>
        <v>2.1038320000000001</v>
      </c>
      <c r="O588" s="279">
        <f>(1051917/100000)-K588</f>
        <v>8.5191700000000008</v>
      </c>
      <c r="P588" s="281">
        <f>525958/100000</f>
        <v>5.2595799999999997</v>
      </c>
      <c r="Q588" s="418" t="s">
        <v>57</v>
      </c>
      <c r="R588" s="419" t="s">
        <v>2337</v>
      </c>
      <c r="S588" s="467">
        <f>(578592/250000)-Q588</f>
        <v>0.31436799999999998</v>
      </c>
      <c r="T588" s="468">
        <f>289296/250000</f>
        <v>1.157184</v>
      </c>
      <c r="U588" s="467">
        <f>(578592/100000)-Q588</f>
        <v>3.78592</v>
      </c>
      <c r="V588" s="469">
        <f>289296/100000</f>
        <v>2.89296</v>
      </c>
      <c r="W588" s="617" t="s">
        <v>60</v>
      </c>
      <c r="X588" s="598" t="s">
        <v>61</v>
      </c>
      <c r="Y588" s="644">
        <f>189789/250000</f>
        <v>0.75915600000000005</v>
      </c>
      <c r="Z588" s="645" t="s">
        <v>61</v>
      </c>
      <c r="AA588" s="644">
        <f>(189789/100000)-W588</f>
        <v>1.8978900000000001</v>
      </c>
      <c r="AB588" s="646" t="s">
        <v>61</v>
      </c>
      <c r="AC588" s="796" t="s">
        <v>60</v>
      </c>
      <c r="AD588" s="782" t="s">
        <v>61</v>
      </c>
      <c r="AE588" s="804">
        <f>263509/250000</f>
        <v>1.054036</v>
      </c>
      <c r="AF588" s="805" t="s">
        <v>61</v>
      </c>
      <c r="AG588" s="804">
        <f>(263509/100000)-AC588</f>
        <v>2.6350899999999999</v>
      </c>
      <c r="AH588" s="964" t="s">
        <v>61</v>
      </c>
      <c r="AI588" s="913"/>
    </row>
    <row r="589" spans="1:35" ht="26.25" x14ac:dyDescent="0.25">
      <c r="A589" s="18" t="s">
        <v>2338</v>
      </c>
      <c r="B589" s="19" t="s">
        <v>40</v>
      </c>
      <c r="C589" s="19" t="s">
        <v>2309</v>
      </c>
      <c r="D589" s="19" t="s">
        <v>2319</v>
      </c>
      <c r="E589" s="19" t="s">
        <v>86</v>
      </c>
      <c r="F589" s="20" t="s">
        <v>2339</v>
      </c>
      <c r="G589" s="21" t="s">
        <v>2340</v>
      </c>
      <c r="H589" s="18" t="s">
        <v>2341</v>
      </c>
      <c r="I589" s="19" t="s">
        <v>89</v>
      </c>
      <c r="J589" s="210"/>
      <c r="K589" s="250" t="s">
        <v>149</v>
      </c>
      <c r="L589" s="251" t="s">
        <v>344</v>
      </c>
      <c r="M589" s="279">
        <f>(1051917/100000)-K589</f>
        <v>9.5191700000000008</v>
      </c>
      <c r="N589" s="280">
        <f>1051917/100000</f>
        <v>10.519170000000001</v>
      </c>
      <c r="O589" s="279">
        <f>(1051917/50000)-K589</f>
        <v>20.038340000000002</v>
      </c>
      <c r="P589" s="281">
        <f>1051917/50000</f>
        <v>21.038340000000002</v>
      </c>
      <c r="Q589" s="418" t="s">
        <v>149</v>
      </c>
      <c r="R589" s="419" t="s">
        <v>627</v>
      </c>
      <c r="S589" s="439">
        <f>(578592/100000)-Q589</f>
        <v>4.78592</v>
      </c>
      <c r="T589" s="440">
        <f>578592/100000</f>
        <v>5.78592</v>
      </c>
      <c r="U589" s="439">
        <f>(578592/50000)-Q589</f>
        <v>10.57184</v>
      </c>
      <c r="V589" s="441">
        <f>578592/50000</f>
        <v>11.57184</v>
      </c>
      <c r="W589" s="617" t="s">
        <v>60</v>
      </c>
      <c r="X589" s="598" t="s">
        <v>61</v>
      </c>
      <c r="Y589" s="644">
        <f>(189789/100000)-W589</f>
        <v>1.8978900000000001</v>
      </c>
      <c r="Z589" s="645" t="s">
        <v>61</v>
      </c>
      <c r="AA589" s="644">
        <f>(189789/50000)-W589</f>
        <v>3.7957800000000002</v>
      </c>
      <c r="AB589" s="646" t="s">
        <v>61</v>
      </c>
      <c r="AC589" s="796" t="s">
        <v>60</v>
      </c>
      <c r="AD589" s="782" t="s">
        <v>61</v>
      </c>
      <c r="AE589" s="804">
        <f>(263509/100000)-AC589</f>
        <v>2.6350899999999999</v>
      </c>
      <c r="AF589" s="805" t="s">
        <v>61</v>
      </c>
      <c r="AG589" s="804">
        <f>(263509/50000)-AC589</f>
        <v>5.2701799999999999</v>
      </c>
      <c r="AH589" s="964" t="s">
        <v>61</v>
      </c>
      <c r="AI589" s="913"/>
    </row>
    <row r="590" spans="1:35" ht="39" x14ac:dyDescent="0.25">
      <c r="A590" s="18" t="s">
        <v>2342</v>
      </c>
      <c r="B590" s="19" t="s">
        <v>40</v>
      </c>
      <c r="C590" s="19" t="s">
        <v>2309</v>
      </c>
      <c r="D590" s="19" t="s">
        <v>2319</v>
      </c>
      <c r="E590" s="19" t="s">
        <v>1859</v>
      </c>
      <c r="F590" s="20" t="s">
        <v>2343</v>
      </c>
      <c r="G590" s="21" t="s">
        <v>2344</v>
      </c>
      <c r="H590" s="18" t="s">
        <v>934</v>
      </c>
      <c r="I590" s="19" t="s">
        <v>822</v>
      </c>
      <c r="J590" s="210"/>
      <c r="K590" s="250"/>
      <c r="L590" s="251"/>
      <c r="M590" s="252"/>
      <c r="N590" s="253"/>
      <c r="O590" s="252"/>
      <c r="P590" s="254"/>
      <c r="Q590" s="418"/>
      <c r="R590" s="419"/>
      <c r="S590" s="420"/>
      <c r="T590" s="421"/>
      <c r="U590" s="420"/>
      <c r="V590" s="422"/>
      <c r="W590" s="597"/>
      <c r="X590" s="598"/>
      <c r="Y590" s="599"/>
      <c r="Z590" s="600"/>
      <c r="AA590" s="599"/>
      <c r="AB590" s="601"/>
      <c r="AC590" s="781"/>
      <c r="AD590" s="782"/>
      <c r="AE590" s="783"/>
      <c r="AF590" s="784"/>
      <c r="AG590" s="783"/>
      <c r="AH590" s="957"/>
      <c r="AI590" s="913"/>
    </row>
    <row r="591" spans="1:35" ht="39" x14ac:dyDescent="0.25">
      <c r="A591" s="18" t="s">
        <v>2345</v>
      </c>
      <c r="B591" s="19" t="s">
        <v>40</v>
      </c>
      <c r="C591" s="19" t="s">
        <v>2309</v>
      </c>
      <c r="D591" s="19" t="s">
        <v>2319</v>
      </c>
      <c r="E591" s="19" t="s">
        <v>2346</v>
      </c>
      <c r="F591" s="20"/>
      <c r="G591" s="21" t="s">
        <v>2347</v>
      </c>
      <c r="H591" s="18" t="s">
        <v>206</v>
      </c>
      <c r="I591" s="19" t="s">
        <v>1938</v>
      </c>
      <c r="J591" s="210"/>
      <c r="K591" s="250"/>
      <c r="L591" s="251"/>
      <c r="M591" s="252"/>
      <c r="N591" s="253"/>
      <c r="O591" s="252"/>
      <c r="P591" s="254"/>
      <c r="Q591" s="418"/>
      <c r="R591" s="419"/>
      <c r="S591" s="420"/>
      <c r="T591" s="421"/>
      <c r="U591" s="420"/>
      <c r="V591" s="422"/>
      <c r="W591" s="597"/>
      <c r="X591" s="598"/>
      <c r="Y591" s="599"/>
      <c r="Z591" s="600"/>
      <c r="AA591" s="599"/>
      <c r="AB591" s="601"/>
      <c r="AC591" s="781"/>
      <c r="AD591" s="782"/>
      <c r="AE591" s="783"/>
      <c r="AF591" s="784"/>
      <c r="AG591" s="783"/>
      <c r="AH591" s="957"/>
      <c r="AI591" s="913"/>
    </row>
    <row r="592" spans="1:35" ht="39" x14ac:dyDescent="0.25">
      <c r="A592" s="18" t="s">
        <v>2348</v>
      </c>
      <c r="B592" s="19" t="s">
        <v>40</v>
      </c>
      <c r="C592" s="19" t="s">
        <v>2309</v>
      </c>
      <c r="D592" s="19" t="s">
        <v>2319</v>
      </c>
      <c r="E592" s="19" t="s">
        <v>2349</v>
      </c>
      <c r="F592" s="20" t="s">
        <v>2350</v>
      </c>
      <c r="G592" s="21" t="s">
        <v>2351</v>
      </c>
      <c r="H592" s="18" t="s">
        <v>331</v>
      </c>
      <c r="I592" s="19" t="s">
        <v>89</v>
      </c>
      <c r="J592" s="210"/>
      <c r="K592" s="250"/>
      <c r="L592" s="251"/>
      <c r="M592" s="252"/>
      <c r="N592" s="253"/>
      <c r="O592" s="252"/>
      <c r="P592" s="254"/>
      <c r="Q592" s="418"/>
      <c r="R592" s="419"/>
      <c r="S592" s="420"/>
      <c r="T592" s="421"/>
      <c r="U592" s="420"/>
      <c r="V592" s="422"/>
      <c r="W592" s="597"/>
      <c r="X592" s="598"/>
      <c r="Y592" s="599"/>
      <c r="Z592" s="600"/>
      <c r="AA592" s="599"/>
      <c r="AB592" s="601"/>
      <c r="AC592" s="781"/>
      <c r="AD592" s="782"/>
      <c r="AE592" s="783"/>
      <c r="AF592" s="784"/>
      <c r="AG592" s="783"/>
      <c r="AH592" s="957"/>
      <c r="AI592" s="913"/>
    </row>
    <row r="593" spans="1:35" ht="39" x14ac:dyDescent="0.25">
      <c r="A593" s="18" t="s">
        <v>2352</v>
      </c>
      <c r="B593" s="19" t="s">
        <v>40</v>
      </c>
      <c r="C593" s="19" t="s">
        <v>2309</v>
      </c>
      <c r="D593" s="19" t="s">
        <v>2319</v>
      </c>
      <c r="E593" s="19" t="s">
        <v>1875</v>
      </c>
      <c r="F593" s="20" t="s">
        <v>2353</v>
      </c>
      <c r="G593" s="21" t="s">
        <v>2354</v>
      </c>
      <c r="H593" s="18" t="s">
        <v>206</v>
      </c>
      <c r="I593" s="19" t="s">
        <v>1938</v>
      </c>
      <c r="J593" s="210"/>
      <c r="K593" s="250" t="s">
        <v>681</v>
      </c>
      <c r="L593" s="251" t="s">
        <v>2355</v>
      </c>
      <c r="M593" s="286">
        <f>(1051917/5000000)-K593</f>
        <v>-27.789616599999999</v>
      </c>
      <c r="N593" s="287">
        <f>37568/5000000</f>
        <v>7.5135999999999996E-3</v>
      </c>
      <c r="O593" s="286">
        <f>(1051917/1000000)-K593</f>
        <v>-26.948083</v>
      </c>
      <c r="P593" s="288">
        <f>37568/1000000</f>
        <v>3.7567999999999997E-2</v>
      </c>
      <c r="Q593" s="418" t="s">
        <v>66</v>
      </c>
      <c r="R593" s="419" t="s">
        <v>67</v>
      </c>
      <c r="S593" s="492">
        <f>(578592/5000000)-Q593</f>
        <v>-10.8842816</v>
      </c>
      <c r="T593" s="493">
        <f>52599/5000000</f>
        <v>1.0519799999999999E-2</v>
      </c>
      <c r="U593" s="492">
        <f>(578592/1000000)-Q593</f>
        <v>-10.421408</v>
      </c>
      <c r="V593" s="494">
        <f>52599/1000000</f>
        <v>5.2599E-2</v>
      </c>
      <c r="W593" s="597" t="s">
        <v>324</v>
      </c>
      <c r="X593" s="598" t="s">
        <v>516</v>
      </c>
      <c r="Y593" s="647">
        <f>(189789/5000000)-W593</f>
        <v>-8.9620422000000008</v>
      </c>
      <c r="Z593" s="648">
        <f>21087/5000000</f>
        <v>4.2173999999999996E-3</v>
      </c>
      <c r="AA593" s="647">
        <f>(189789/1000000)-W593</f>
        <v>-8.8102110000000007</v>
      </c>
      <c r="AB593" s="649">
        <f>21087/1000000</f>
        <v>2.1087000000000002E-2</v>
      </c>
      <c r="AC593" s="781" t="s">
        <v>152</v>
      </c>
      <c r="AD593" s="782" t="s">
        <v>190</v>
      </c>
      <c r="AE593" s="878">
        <f>(263509/5000000)-AC593</f>
        <v>-7.9472981999999996</v>
      </c>
      <c r="AF593" s="879">
        <f>32938/5000000</f>
        <v>6.5875999999999999E-3</v>
      </c>
      <c r="AG593" s="878">
        <f>(263509/1000000)-AC593</f>
        <v>-7.736491</v>
      </c>
      <c r="AH593" s="985">
        <f>32938/1000000</f>
        <v>3.2938000000000002E-2</v>
      </c>
      <c r="AI593" s="913"/>
    </row>
    <row r="594" spans="1:35" ht="26.25" x14ac:dyDescent="0.25">
      <c r="A594" s="18" t="s">
        <v>2356</v>
      </c>
      <c r="B594" s="19" t="s">
        <v>40</v>
      </c>
      <c r="C594" s="19" t="s">
        <v>2309</v>
      </c>
      <c r="D594" s="19" t="s">
        <v>2319</v>
      </c>
      <c r="E594" s="19" t="s">
        <v>2357</v>
      </c>
      <c r="F594" s="20"/>
      <c r="G594" s="21" t="s">
        <v>2358</v>
      </c>
      <c r="H594" s="18" t="s">
        <v>331</v>
      </c>
      <c r="I594" s="19" t="s">
        <v>276</v>
      </c>
      <c r="J594" s="210"/>
      <c r="K594" s="250"/>
      <c r="L594" s="251"/>
      <c r="M594" s="252"/>
      <c r="N594" s="253"/>
      <c r="O594" s="252"/>
      <c r="P594" s="254"/>
      <c r="Q594" s="418"/>
      <c r="R594" s="419"/>
      <c r="S594" s="420"/>
      <c r="T594" s="421"/>
      <c r="U594" s="420"/>
      <c r="V594" s="422"/>
      <c r="W594" s="597"/>
      <c r="X594" s="598"/>
      <c r="Y594" s="599"/>
      <c r="Z594" s="600"/>
      <c r="AA594" s="599"/>
      <c r="AB594" s="601"/>
      <c r="AC594" s="781"/>
      <c r="AD594" s="782"/>
      <c r="AE594" s="783"/>
      <c r="AF594" s="784"/>
      <c r="AG594" s="783"/>
      <c r="AH594" s="957"/>
      <c r="AI594" s="913"/>
    </row>
    <row r="595" spans="1:35" ht="64.5" x14ac:dyDescent="0.25">
      <c r="A595" s="18" t="s">
        <v>2359</v>
      </c>
      <c r="B595" s="19" t="s">
        <v>40</v>
      </c>
      <c r="C595" s="19" t="s">
        <v>2309</v>
      </c>
      <c r="D595" s="19" t="s">
        <v>2319</v>
      </c>
      <c r="E595" s="19" t="s">
        <v>1882</v>
      </c>
      <c r="F595" s="20" t="s">
        <v>2360</v>
      </c>
      <c r="G595" s="21" t="s">
        <v>2361</v>
      </c>
      <c r="H595" s="18" t="s">
        <v>331</v>
      </c>
      <c r="I595" s="19" t="s">
        <v>276</v>
      </c>
      <c r="J595" s="210"/>
      <c r="K595" s="250" t="s">
        <v>145</v>
      </c>
      <c r="L595" s="251" t="s">
        <v>146</v>
      </c>
      <c r="M595" s="279">
        <f>(1051917/15000)-K595</f>
        <v>64.127799999999993</v>
      </c>
      <c r="N595" s="280">
        <f>175319/15000</f>
        <v>11.687933333333334</v>
      </c>
      <c r="O595" s="279">
        <f>(1051917/10000)-K595</f>
        <v>99.191699999999997</v>
      </c>
      <c r="P595" s="281">
        <f>175319/10000</f>
        <v>17.5319</v>
      </c>
      <c r="Q595" s="418" t="s">
        <v>149</v>
      </c>
      <c r="R595" s="419" t="s">
        <v>627</v>
      </c>
      <c r="S595" s="439">
        <f>(578592/15000)-Q595</f>
        <v>37.572800000000001</v>
      </c>
      <c r="T595" s="440">
        <f>578592/15000</f>
        <v>38.572800000000001</v>
      </c>
      <c r="U595" s="439">
        <f>(578592/10000)-Q595</f>
        <v>56.859200000000001</v>
      </c>
      <c r="V595" s="441">
        <f>578592/10000</f>
        <v>57.859200000000001</v>
      </c>
      <c r="W595" s="597" t="s">
        <v>57</v>
      </c>
      <c r="X595" s="598" t="s">
        <v>148</v>
      </c>
      <c r="Y595" s="644">
        <f>(189789/15000)-W595</f>
        <v>10.6526</v>
      </c>
      <c r="Z595" s="645">
        <f>94894/15000</f>
        <v>6.3262666666666663</v>
      </c>
      <c r="AA595" s="644">
        <f>(189789/10000)-W595</f>
        <v>16.978899999999999</v>
      </c>
      <c r="AB595" s="646">
        <f>94894/10000</f>
        <v>9.4893999999999998</v>
      </c>
      <c r="AC595" s="781" t="s">
        <v>70</v>
      </c>
      <c r="AD595" s="782" t="s">
        <v>71</v>
      </c>
      <c r="AE595" s="804">
        <f>(263509/15000)-AC595</f>
        <v>14.567266666666665</v>
      </c>
      <c r="AF595" s="805">
        <f>87836/15000</f>
        <v>5.8557333333333332</v>
      </c>
      <c r="AG595" s="804">
        <f>(263509/10000)-AC595</f>
        <v>23.350899999999999</v>
      </c>
      <c r="AH595" s="964">
        <f>87836/10000</f>
        <v>8.7835999999999999</v>
      </c>
      <c r="AI595" s="913"/>
    </row>
    <row r="596" spans="1:35" ht="26.25" x14ac:dyDescent="0.25">
      <c r="A596" s="18" t="s">
        <v>2362</v>
      </c>
      <c r="B596" s="19" t="s">
        <v>40</v>
      </c>
      <c r="C596" s="19" t="s">
        <v>2309</v>
      </c>
      <c r="D596" s="19" t="s">
        <v>2319</v>
      </c>
      <c r="E596" s="19" t="s">
        <v>2363</v>
      </c>
      <c r="F596" s="20"/>
      <c r="G596" s="21" t="s">
        <v>2364</v>
      </c>
      <c r="H596" s="18" t="s">
        <v>2365</v>
      </c>
      <c r="I596" s="19" t="s">
        <v>276</v>
      </c>
      <c r="J596" s="210"/>
      <c r="K596" s="250"/>
      <c r="L596" s="251"/>
      <c r="M596" s="252"/>
      <c r="N596" s="253"/>
      <c r="O596" s="252"/>
      <c r="P596" s="254"/>
      <c r="Q596" s="418"/>
      <c r="R596" s="419"/>
      <c r="S596" s="420"/>
      <c r="T596" s="421"/>
      <c r="U596" s="420"/>
      <c r="V596" s="422"/>
      <c r="W596" s="597"/>
      <c r="X596" s="598"/>
      <c r="Y596" s="599"/>
      <c r="Z596" s="600"/>
      <c r="AA596" s="599"/>
      <c r="AB596" s="601"/>
      <c r="AC596" s="781"/>
      <c r="AD596" s="782"/>
      <c r="AE596" s="783"/>
      <c r="AF596" s="784"/>
      <c r="AG596" s="783"/>
      <c r="AH596" s="957"/>
      <c r="AI596" s="913"/>
    </row>
    <row r="597" spans="1:35" ht="26.25" x14ac:dyDescent="0.25">
      <c r="A597" s="18" t="s">
        <v>2366</v>
      </c>
      <c r="B597" s="19" t="s">
        <v>40</v>
      </c>
      <c r="C597" s="19" t="s">
        <v>2309</v>
      </c>
      <c r="D597" s="19" t="s">
        <v>2319</v>
      </c>
      <c r="E597" s="19" t="s">
        <v>2367</v>
      </c>
      <c r="F597" s="20"/>
      <c r="G597" s="21" t="s">
        <v>2368</v>
      </c>
      <c r="H597" s="18" t="s">
        <v>331</v>
      </c>
      <c r="I597" s="19" t="s">
        <v>276</v>
      </c>
      <c r="J597" s="210"/>
      <c r="K597" s="250"/>
      <c r="L597" s="251"/>
      <c r="M597" s="252"/>
      <c r="N597" s="253"/>
      <c r="O597" s="252"/>
      <c r="P597" s="254"/>
      <c r="Q597" s="418"/>
      <c r="R597" s="419"/>
      <c r="S597" s="420"/>
      <c r="T597" s="421"/>
      <c r="U597" s="420"/>
      <c r="V597" s="422"/>
      <c r="W597" s="597"/>
      <c r="X597" s="598"/>
      <c r="Y597" s="599"/>
      <c r="Z597" s="600"/>
      <c r="AA597" s="599"/>
      <c r="AB597" s="601"/>
      <c r="AC597" s="781"/>
      <c r="AD597" s="782"/>
      <c r="AE597" s="783"/>
      <c r="AF597" s="784"/>
      <c r="AG597" s="783"/>
      <c r="AH597" s="957"/>
      <c r="AI597" s="913"/>
    </row>
    <row r="598" spans="1:35" ht="51.75" x14ac:dyDescent="0.25">
      <c r="A598" s="110" t="s">
        <v>2369</v>
      </c>
      <c r="B598" s="111" t="s">
        <v>40</v>
      </c>
      <c r="C598" s="111" t="s">
        <v>2309</v>
      </c>
      <c r="D598" s="111" t="s">
        <v>2319</v>
      </c>
      <c r="E598" s="111" t="s">
        <v>2370</v>
      </c>
      <c r="F598" s="112" t="s">
        <v>2371</v>
      </c>
      <c r="G598" s="113" t="s">
        <v>1262</v>
      </c>
      <c r="H598" s="110"/>
      <c r="I598" s="111"/>
      <c r="J598" s="210"/>
      <c r="K598" s="250" t="s">
        <v>57</v>
      </c>
      <c r="L598" s="251" t="s">
        <v>58</v>
      </c>
      <c r="M598" s="252" t="s">
        <v>331</v>
      </c>
      <c r="N598" s="253" t="s">
        <v>61</v>
      </c>
      <c r="O598" s="252" t="s">
        <v>331</v>
      </c>
      <c r="P598" s="254" t="s">
        <v>61</v>
      </c>
      <c r="Q598" s="418" t="s">
        <v>149</v>
      </c>
      <c r="R598" s="419" t="s">
        <v>627</v>
      </c>
      <c r="S598" s="420" t="s">
        <v>331</v>
      </c>
      <c r="T598" s="421" t="s">
        <v>61</v>
      </c>
      <c r="U598" s="420" t="s">
        <v>331</v>
      </c>
      <c r="V598" s="422" t="s">
        <v>61</v>
      </c>
      <c r="W598" s="597" t="s">
        <v>149</v>
      </c>
      <c r="X598" s="598" t="s">
        <v>739</v>
      </c>
      <c r="Y598" s="599" t="s">
        <v>331</v>
      </c>
      <c r="Z598" s="600" t="s">
        <v>61</v>
      </c>
      <c r="AA598" s="599" t="s">
        <v>331</v>
      </c>
      <c r="AB598" s="601" t="s">
        <v>61</v>
      </c>
      <c r="AC598" s="796" t="s">
        <v>60</v>
      </c>
      <c r="AD598" s="782" t="s">
        <v>61</v>
      </c>
      <c r="AE598" s="783" t="s">
        <v>331</v>
      </c>
      <c r="AF598" s="784" t="s">
        <v>61</v>
      </c>
      <c r="AG598" s="783" t="s">
        <v>331</v>
      </c>
      <c r="AH598" s="957" t="s">
        <v>61</v>
      </c>
      <c r="AI598" s="931"/>
    </row>
    <row r="599" spans="1:35" ht="39" x14ac:dyDescent="0.25">
      <c r="A599" s="18" t="s">
        <v>2372</v>
      </c>
      <c r="B599" s="19" t="s">
        <v>40</v>
      </c>
      <c r="C599" s="19" t="s">
        <v>2309</v>
      </c>
      <c r="D599" s="19" t="s">
        <v>2319</v>
      </c>
      <c r="E599" s="19" t="s">
        <v>1903</v>
      </c>
      <c r="F599" s="20" t="s">
        <v>2373</v>
      </c>
      <c r="G599" s="21" t="s">
        <v>2374</v>
      </c>
      <c r="H599" s="18" t="s">
        <v>331</v>
      </c>
      <c r="I599" s="19" t="s">
        <v>276</v>
      </c>
      <c r="J599" s="210"/>
      <c r="K599" s="250" t="s">
        <v>674</v>
      </c>
      <c r="L599" s="251" t="s">
        <v>2070</v>
      </c>
      <c r="M599" s="279">
        <f>(1051917/15000)-K599</f>
        <v>58.127799999999993</v>
      </c>
      <c r="N599" s="280">
        <f>87659/15000</f>
        <v>5.8439333333333332</v>
      </c>
      <c r="O599" s="279">
        <f>(1051917/10000)-K599</f>
        <v>93.191699999999997</v>
      </c>
      <c r="P599" s="281">
        <f>87659/10000</f>
        <v>8.7659000000000002</v>
      </c>
      <c r="Q599" s="418" t="s">
        <v>66</v>
      </c>
      <c r="R599" s="419" t="s">
        <v>67</v>
      </c>
      <c r="S599" s="439">
        <f>(578592/15000)-Q599</f>
        <v>27.572800000000001</v>
      </c>
      <c r="T599" s="440">
        <f>52599/15000</f>
        <v>3.5066000000000002</v>
      </c>
      <c r="U599" s="439">
        <f>(578592/10000)-Q599</f>
        <v>46.859200000000001</v>
      </c>
      <c r="V599" s="441">
        <f>52599/10000</f>
        <v>5.2599</v>
      </c>
      <c r="W599" s="597" t="s">
        <v>149</v>
      </c>
      <c r="X599" s="598" t="s">
        <v>739</v>
      </c>
      <c r="Y599" s="644">
        <f>(189789/15000)-W599</f>
        <v>11.6526</v>
      </c>
      <c r="Z599" s="645">
        <f>189789/15000</f>
        <v>12.6526</v>
      </c>
      <c r="AA599" s="644">
        <f>(189789/10000)-W599</f>
        <v>17.978899999999999</v>
      </c>
      <c r="AB599" s="646">
        <f>189789/10000</f>
        <v>18.978899999999999</v>
      </c>
      <c r="AC599" s="796" t="s">
        <v>60</v>
      </c>
      <c r="AD599" s="782" t="s">
        <v>61</v>
      </c>
      <c r="AE599" s="804">
        <f>(263509/15000)-AC599</f>
        <v>17.567266666666665</v>
      </c>
      <c r="AF599" s="805" t="s">
        <v>61</v>
      </c>
      <c r="AG599" s="804">
        <f>(263509/10000)-AC599</f>
        <v>26.350899999999999</v>
      </c>
      <c r="AH599" s="964" t="s">
        <v>61</v>
      </c>
      <c r="AI599" s="913"/>
    </row>
    <row r="600" spans="1:35" ht="26.25" x14ac:dyDescent="0.25">
      <c r="A600" s="18" t="s">
        <v>2375</v>
      </c>
      <c r="B600" s="19" t="s">
        <v>40</v>
      </c>
      <c r="C600" s="19" t="s">
        <v>2309</v>
      </c>
      <c r="D600" s="19" t="s">
        <v>2319</v>
      </c>
      <c r="E600" s="19" t="s">
        <v>2376</v>
      </c>
      <c r="F600" s="20" t="s">
        <v>2377</v>
      </c>
      <c r="G600" s="21" t="s">
        <v>2378</v>
      </c>
      <c r="H600" s="18" t="s">
        <v>331</v>
      </c>
      <c r="I600" s="19" t="s">
        <v>276</v>
      </c>
      <c r="J600" s="210"/>
      <c r="K600" s="250" t="s">
        <v>149</v>
      </c>
      <c r="L600" s="251" t="s">
        <v>344</v>
      </c>
      <c r="M600" s="279">
        <f>(1051917/15000)-K600</f>
        <v>69.127799999999993</v>
      </c>
      <c r="N600" s="280">
        <f>1051917/15000</f>
        <v>70.127799999999993</v>
      </c>
      <c r="O600" s="279">
        <f>(1051917/10000)-K600</f>
        <v>104.1917</v>
      </c>
      <c r="P600" s="281">
        <f>1051917/10000</f>
        <v>105.1917</v>
      </c>
      <c r="Q600" s="418" t="s">
        <v>149</v>
      </c>
      <c r="R600" s="419" t="s">
        <v>627</v>
      </c>
      <c r="S600" s="439">
        <f>(578592/15000)-Q600</f>
        <v>37.572800000000001</v>
      </c>
      <c r="T600" s="440">
        <f>578592/15000</f>
        <v>38.572800000000001</v>
      </c>
      <c r="U600" s="439">
        <f>(578592/10000)-Q600</f>
        <v>56.859200000000001</v>
      </c>
      <c r="V600" s="441">
        <f>578592/10000</f>
        <v>57.859200000000001</v>
      </c>
      <c r="W600" s="617" t="s">
        <v>60</v>
      </c>
      <c r="X600" s="598" t="s">
        <v>61</v>
      </c>
      <c r="Y600" s="644">
        <f>(189789/15000)-W600</f>
        <v>12.6526</v>
      </c>
      <c r="Z600" s="645" t="s">
        <v>61</v>
      </c>
      <c r="AA600" s="644">
        <f>(189789/10000)-W600</f>
        <v>18.978899999999999</v>
      </c>
      <c r="AB600" s="646" t="s">
        <v>61</v>
      </c>
      <c r="AC600" s="796" t="s">
        <v>60</v>
      </c>
      <c r="AD600" s="782" t="s">
        <v>61</v>
      </c>
      <c r="AE600" s="804">
        <f>(263509/15000)-AC600</f>
        <v>17.567266666666665</v>
      </c>
      <c r="AF600" s="805" t="s">
        <v>61</v>
      </c>
      <c r="AG600" s="804">
        <f>(263509/10000)-AC600</f>
        <v>26.350899999999999</v>
      </c>
      <c r="AH600" s="964" t="s">
        <v>61</v>
      </c>
      <c r="AI600" s="913"/>
    </row>
    <row r="601" spans="1:35" ht="26.25" x14ac:dyDescent="0.25">
      <c r="A601" s="18" t="s">
        <v>2379</v>
      </c>
      <c r="B601" s="19" t="s">
        <v>40</v>
      </c>
      <c r="C601" s="19" t="s">
        <v>2309</v>
      </c>
      <c r="D601" s="19" t="s">
        <v>2319</v>
      </c>
      <c r="E601" s="19" t="s">
        <v>1916</v>
      </c>
      <c r="F601" s="20" t="s">
        <v>2380</v>
      </c>
      <c r="G601" s="21" t="s">
        <v>2381</v>
      </c>
      <c r="H601" s="18" t="s">
        <v>331</v>
      </c>
      <c r="I601" s="19" t="s">
        <v>276</v>
      </c>
      <c r="J601" s="210"/>
      <c r="K601" s="250"/>
      <c r="L601" s="251"/>
      <c r="M601" s="252"/>
      <c r="N601" s="253"/>
      <c r="O601" s="252"/>
      <c r="P601" s="254"/>
      <c r="Q601" s="418"/>
      <c r="R601" s="419"/>
      <c r="S601" s="420"/>
      <c r="T601" s="421"/>
      <c r="U601" s="420"/>
      <c r="V601" s="422"/>
      <c r="W601" s="597"/>
      <c r="X601" s="598"/>
      <c r="Y601" s="599"/>
      <c r="Z601" s="600"/>
      <c r="AA601" s="599"/>
      <c r="AB601" s="601"/>
      <c r="AC601" s="781"/>
      <c r="AD601" s="782"/>
      <c r="AE601" s="783"/>
      <c r="AF601" s="784"/>
      <c r="AG601" s="783"/>
      <c r="AH601" s="957"/>
      <c r="AI601" s="913"/>
    </row>
    <row r="602" spans="1:35" ht="26.25" x14ac:dyDescent="0.25">
      <c r="A602" s="18" t="s">
        <v>2382</v>
      </c>
      <c r="B602" s="19" t="s">
        <v>40</v>
      </c>
      <c r="C602" s="19" t="s">
        <v>2309</v>
      </c>
      <c r="D602" s="19" t="s">
        <v>2319</v>
      </c>
      <c r="E602" s="19" t="s">
        <v>1511</v>
      </c>
      <c r="F602" s="20"/>
      <c r="G602" s="21" t="s">
        <v>2383</v>
      </c>
      <c r="H602" s="18" t="s">
        <v>331</v>
      </c>
      <c r="I602" s="19" t="s">
        <v>89</v>
      </c>
      <c r="J602" s="210"/>
      <c r="K602" s="250"/>
      <c r="L602" s="251"/>
      <c r="M602" s="252"/>
      <c r="N602" s="253"/>
      <c r="O602" s="252"/>
      <c r="P602" s="254"/>
      <c r="Q602" s="418"/>
      <c r="R602" s="419"/>
      <c r="S602" s="420"/>
      <c r="T602" s="421"/>
      <c r="U602" s="420"/>
      <c r="V602" s="422"/>
      <c r="W602" s="597"/>
      <c r="X602" s="598"/>
      <c r="Y602" s="599"/>
      <c r="Z602" s="600"/>
      <c r="AA602" s="599"/>
      <c r="AB602" s="601"/>
      <c r="AC602" s="781"/>
      <c r="AD602" s="782"/>
      <c r="AE602" s="783"/>
      <c r="AF602" s="784"/>
      <c r="AG602" s="783"/>
      <c r="AH602" s="957"/>
      <c r="AI602" s="913"/>
    </row>
    <row r="603" spans="1:35" ht="26.25" x14ac:dyDescent="0.25">
      <c r="A603" s="18" t="s">
        <v>2384</v>
      </c>
      <c r="B603" s="19" t="s">
        <v>40</v>
      </c>
      <c r="C603" s="19" t="s">
        <v>2309</v>
      </c>
      <c r="D603" s="19" t="s">
        <v>2319</v>
      </c>
      <c r="E603" s="19" t="s">
        <v>1934</v>
      </c>
      <c r="F603" s="20" t="s">
        <v>2385</v>
      </c>
      <c r="G603" s="21" t="s">
        <v>2386</v>
      </c>
      <c r="H603" s="18" t="s">
        <v>331</v>
      </c>
      <c r="I603" s="19" t="s">
        <v>276</v>
      </c>
      <c r="J603" s="210"/>
      <c r="K603" s="250" t="s">
        <v>70</v>
      </c>
      <c r="L603" s="251" t="s">
        <v>474</v>
      </c>
      <c r="M603" s="279">
        <f>(1051917/15000)-K603</f>
        <v>67.127799999999993</v>
      </c>
      <c r="N603" s="280">
        <f>350639/15000</f>
        <v>23.375933333333332</v>
      </c>
      <c r="O603" s="279">
        <f>(1051917/10000)-K603</f>
        <v>102.1917</v>
      </c>
      <c r="P603" s="281">
        <f>350639/10000</f>
        <v>35.063899999999997</v>
      </c>
      <c r="Q603" s="418" t="s">
        <v>57</v>
      </c>
      <c r="R603" s="419" t="s">
        <v>2337</v>
      </c>
      <c r="S603" s="439">
        <f>(578592/15000)-Q603</f>
        <v>36.572800000000001</v>
      </c>
      <c r="T603" s="440">
        <f>289296/15000</f>
        <v>19.2864</v>
      </c>
      <c r="U603" s="439">
        <f>(578592/10000)-Q603</f>
        <v>55.859200000000001</v>
      </c>
      <c r="V603" s="441">
        <f>289296/10000</f>
        <v>28.929600000000001</v>
      </c>
      <c r="W603" s="597" t="s">
        <v>149</v>
      </c>
      <c r="X603" s="598" t="s">
        <v>739</v>
      </c>
      <c r="Y603" s="644">
        <f>(189789/15000)-W603</f>
        <v>11.6526</v>
      </c>
      <c r="Z603" s="645">
        <f>189789/15000</f>
        <v>12.6526</v>
      </c>
      <c r="AA603" s="644">
        <f>(189789/10000)-W603</f>
        <v>17.978899999999999</v>
      </c>
      <c r="AB603" s="646">
        <f>189789/10000</f>
        <v>18.978899999999999</v>
      </c>
      <c r="AC603" s="796" t="s">
        <v>60</v>
      </c>
      <c r="AD603" s="782" t="s">
        <v>61</v>
      </c>
      <c r="AE603" s="804">
        <f>(263509/15000)-AC603</f>
        <v>17.567266666666665</v>
      </c>
      <c r="AF603" s="805" t="s">
        <v>61</v>
      </c>
      <c r="AG603" s="804">
        <f>(263509/10000)-AC603</f>
        <v>26.350899999999999</v>
      </c>
      <c r="AH603" s="964" t="s">
        <v>61</v>
      </c>
      <c r="AI603" s="913"/>
    </row>
    <row r="604" spans="1:35" ht="26.25" x14ac:dyDescent="0.25">
      <c r="A604" s="18" t="s">
        <v>2387</v>
      </c>
      <c r="B604" s="19" t="s">
        <v>40</v>
      </c>
      <c r="C604" s="19" t="s">
        <v>2309</v>
      </c>
      <c r="D604" s="19" t="s">
        <v>2319</v>
      </c>
      <c r="E604" s="19" t="s">
        <v>2388</v>
      </c>
      <c r="F604" s="20"/>
      <c r="G604" s="21" t="s">
        <v>2389</v>
      </c>
      <c r="H604" s="18" t="s">
        <v>331</v>
      </c>
      <c r="I604" s="19" t="s">
        <v>89</v>
      </c>
      <c r="J604" s="210"/>
      <c r="K604" s="250"/>
      <c r="L604" s="251"/>
      <c r="M604" s="252"/>
      <c r="N604" s="253"/>
      <c r="O604" s="252"/>
      <c r="P604" s="254"/>
      <c r="Q604" s="418"/>
      <c r="R604" s="419"/>
      <c r="S604" s="420"/>
      <c r="T604" s="421"/>
      <c r="U604" s="420"/>
      <c r="V604" s="422"/>
      <c r="W604" s="597"/>
      <c r="X604" s="598"/>
      <c r="Y604" s="599"/>
      <c r="Z604" s="600"/>
      <c r="AA604" s="599"/>
      <c r="AB604" s="601"/>
      <c r="AC604" s="781"/>
      <c r="AD604" s="782"/>
      <c r="AE604" s="783"/>
      <c r="AF604" s="784"/>
      <c r="AG604" s="783"/>
      <c r="AH604" s="957"/>
      <c r="AI604" s="913"/>
    </row>
    <row r="605" spans="1:35" ht="26.25" x14ac:dyDescent="0.25">
      <c r="A605" s="18" t="s">
        <v>2390</v>
      </c>
      <c r="B605" s="19" t="s">
        <v>40</v>
      </c>
      <c r="C605" s="19" t="s">
        <v>2309</v>
      </c>
      <c r="D605" s="19" t="s">
        <v>2319</v>
      </c>
      <c r="E605" s="19" t="s">
        <v>814</v>
      </c>
      <c r="F605" s="20" t="s">
        <v>2391</v>
      </c>
      <c r="G605" s="21" t="s">
        <v>2392</v>
      </c>
      <c r="H605" s="18" t="s">
        <v>331</v>
      </c>
      <c r="I605" s="19" t="s">
        <v>432</v>
      </c>
      <c r="J605" s="210"/>
      <c r="K605" s="250" t="s">
        <v>674</v>
      </c>
      <c r="L605" s="251" t="s">
        <v>2070</v>
      </c>
      <c r="M605" s="279">
        <f>(1051917/20000)-K605</f>
        <v>40.595849999999999</v>
      </c>
      <c r="N605" s="280">
        <f>87659/20000</f>
        <v>4.3829500000000001</v>
      </c>
      <c r="O605" s="279">
        <f>(1051917/10000)-K605</f>
        <v>93.191699999999997</v>
      </c>
      <c r="P605" s="281">
        <f>87659/10000</f>
        <v>8.7659000000000002</v>
      </c>
      <c r="Q605" s="418" t="s">
        <v>324</v>
      </c>
      <c r="R605" s="419" t="s">
        <v>1026</v>
      </c>
      <c r="S605" s="439">
        <f>(578509/20000)-Q605</f>
        <v>19.925450000000001</v>
      </c>
      <c r="T605" s="440">
        <f>64288/20000</f>
        <v>3.2143999999999999</v>
      </c>
      <c r="U605" s="439">
        <f>(578592/10000)-Q605</f>
        <v>48.859200000000001</v>
      </c>
      <c r="V605" s="441">
        <f>64288/10000</f>
        <v>6.4287999999999998</v>
      </c>
      <c r="W605" s="597" t="s">
        <v>149</v>
      </c>
      <c r="X605" s="598" t="s">
        <v>739</v>
      </c>
      <c r="Y605" s="644">
        <f>(189789/20000)-W605</f>
        <v>8.4894499999999997</v>
      </c>
      <c r="Z605" s="645">
        <f>189789/20000</f>
        <v>9.4894499999999997</v>
      </c>
      <c r="AA605" s="644">
        <f>(189789/10000)-W605</f>
        <v>17.978899999999999</v>
      </c>
      <c r="AB605" s="646">
        <f>189789/10000</f>
        <v>18.978899999999999</v>
      </c>
      <c r="AC605" s="781" t="s">
        <v>57</v>
      </c>
      <c r="AD605" s="782" t="s">
        <v>721</v>
      </c>
      <c r="AE605" s="804">
        <f>(263509/20000)-AC605</f>
        <v>11.17545</v>
      </c>
      <c r="AF605" s="805">
        <f>131754/20000</f>
        <v>6.5876999999999999</v>
      </c>
      <c r="AG605" s="804">
        <f>(263509/10000)-AC605</f>
        <v>24.350899999999999</v>
      </c>
      <c r="AH605" s="964">
        <f>131754/10000</f>
        <v>13.1754</v>
      </c>
      <c r="AI605" s="913"/>
    </row>
    <row r="606" spans="1:35" ht="26.25" x14ac:dyDescent="0.25">
      <c r="A606" s="18" t="s">
        <v>2393</v>
      </c>
      <c r="B606" s="19" t="s">
        <v>40</v>
      </c>
      <c r="C606" s="19" t="s">
        <v>2309</v>
      </c>
      <c r="D606" s="19" t="s">
        <v>2319</v>
      </c>
      <c r="E606" s="19" t="s">
        <v>1959</v>
      </c>
      <c r="F606" s="20" t="s">
        <v>2394</v>
      </c>
      <c r="G606" s="21" t="s">
        <v>2395</v>
      </c>
      <c r="H606" s="18" t="s">
        <v>331</v>
      </c>
      <c r="I606" s="19" t="s">
        <v>432</v>
      </c>
      <c r="J606" s="210"/>
      <c r="K606" s="250"/>
      <c r="L606" s="251"/>
      <c r="M606" s="252"/>
      <c r="N606" s="253"/>
      <c r="O606" s="252"/>
      <c r="P606" s="254"/>
      <c r="Q606" s="418"/>
      <c r="R606" s="419"/>
      <c r="S606" s="420"/>
      <c r="T606" s="421"/>
      <c r="U606" s="420"/>
      <c r="V606" s="422"/>
      <c r="W606" s="597"/>
      <c r="X606" s="598"/>
      <c r="Y606" s="599"/>
      <c r="Z606" s="600"/>
      <c r="AA606" s="599"/>
      <c r="AB606" s="601"/>
      <c r="AC606" s="781"/>
      <c r="AD606" s="782"/>
      <c r="AE606" s="783"/>
      <c r="AF606" s="784"/>
      <c r="AG606" s="783"/>
      <c r="AH606" s="957"/>
      <c r="AI606" s="913"/>
    </row>
    <row r="607" spans="1:35" ht="26.25" x14ac:dyDescent="0.25">
      <c r="A607" s="18" t="s">
        <v>2396</v>
      </c>
      <c r="B607" s="19" t="s">
        <v>40</v>
      </c>
      <c r="C607" s="19" t="s">
        <v>2309</v>
      </c>
      <c r="D607" s="19" t="s">
        <v>2319</v>
      </c>
      <c r="E607" s="19" t="s">
        <v>2397</v>
      </c>
      <c r="F607" s="20"/>
      <c r="G607" s="21" t="s">
        <v>2398</v>
      </c>
      <c r="H607" s="18" t="s">
        <v>331</v>
      </c>
      <c r="I607" s="19" t="s">
        <v>432</v>
      </c>
      <c r="J607" s="210"/>
      <c r="K607" s="250"/>
      <c r="L607" s="251"/>
      <c r="M607" s="252"/>
      <c r="N607" s="253"/>
      <c r="O607" s="252"/>
      <c r="P607" s="254"/>
      <c r="Q607" s="418"/>
      <c r="R607" s="419"/>
      <c r="S607" s="420"/>
      <c r="T607" s="421"/>
      <c r="U607" s="420"/>
      <c r="V607" s="422"/>
      <c r="W607" s="597"/>
      <c r="X607" s="598"/>
      <c r="Y607" s="599"/>
      <c r="Z607" s="600"/>
      <c r="AA607" s="599"/>
      <c r="AB607" s="601"/>
      <c r="AC607" s="781"/>
      <c r="AD607" s="782"/>
      <c r="AE607" s="783"/>
      <c r="AF607" s="784"/>
      <c r="AG607" s="783"/>
      <c r="AH607" s="957"/>
      <c r="AI607" s="913"/>
    </row>
    <row r="608" spans="1:35" ht="51.75" x14ac:dyDescent="0.25">
      <c r="A608" s="18" t="s">
        <v>2399</v>
      </c>
      <c r="B608" s="19" t="s">
        <v>40</v>
      </c>
      <c r="C608" s="19" t="s">
        <v>2309</v>
      </c>
      <c r="D608" s="19" t="s">
        <v>2319</v>
      </c>
      <c r="E608" s="19" t="s">
        <v>1965</v>
      </c>
      <c r="F608" s="20" t="s">
        <v>2400</v>
      </c>
      <c r="G608" s="21" t="s">
        <v>2401</v>
      </c>
      <c r="H608" s="18" t="s">
        <v>331</v>
      </c>
      <c r="I608" s="19" t="s">
        <v>191</v>
      </c>
      <c r="J608" s="210"/>
      <c r="K608" s="250" t="s">
        <v>1108</v>
      </c>
      <c r="L608" s="251" t="s">
        <v>1109</v>
      </c>
      <c r="M608" s="279">
        <f>(1051917/30000)-K608</f>
        <v>4.0638999999999967</v>
      </c>
      <c r="N608" s="280">
        <f>33932/30000</f>
        <v>1.1310666666666667</v>
      </c>
      <c r="O608" s="279">
        <f>(1051917/20000)-K608</f>
        <v>21.595849999999999</v>
      </c>
      <c r="P608" s="281">
        <f>33932/20000</f>
        <v>1.6966000000000001</v>
      </c>
      <c r="Q608" s="418" t="s">
        <v>64</v>
      </c>
      <c r="R608" s="419" t="s">
        <v>2402</v>
      </c>
      <c r="S608" s="439">
        <f>(578592/30000)-Q608</f>
        <v>1.2864000000000004</v>
      </c>
      <c r="T608" s="440">
        <f>32144/30000</f>
        <v>1.0714666666666666</v>
      </c>
      <c r="U608" s="439">
        <f>(578592/20000)-Q608</f>
        <v>10.929600000000001</v>
      </c>
      <c r="V608" s="441">
        <f>32144/20000</f>
        <v>1.6072</v>
      </c>
      <c r="W608" s="597" t="s">
        <v>68</v>
      </c>
      <c r="X608" s="598" t="s">
        <v>69</v>
      </c>
      <c r="Y608" s="644">
        <f>(189789/30000)-W608</f>
        <v>2.3262999999999998</v>
      </c>
      <c r="Z608" s="645">
        <f>47447/30000</f>
        <v>1.5815666666666666</v>
      </c>
      <c r="AA608" s="644">
        <f>(189789/20000)-W608</f>
        <v>5.4894499999999997</v>
      </c>
      <c r="AB608" s="646">
        <f>47447/20000</f>
        <v>2.37235</v>
      </c>
      <c r="AC608" s="781" t="s">
        <v>324</v>
      </c>
      <c r="AD608" s="782" t="s">
        <v>325</v>
      </c>
      <c r="AE608" s="822">
        <f>(263509/30000)-AC608</f>
        <v>-0.21636666666666748</v>
      </c>
      <c r="AF608" s="823">
        <f>29278/30000</f>
        <v>0.97593333333333332</v>
      </c>
      <c r="AG608" s="822">
        <f>(263509/20000)-AC608</f>
        <v>4.1754499999999997</v>
      </c>
      <c r="AH608" s="970">
        <f>29278/20000</f>
        <v>1.4639</v>
      </c>
      <c r="AI608" s="913"/>
    </row>
    <row r="609" spans="1:35" ht="51.75" x14ac:dyDescent="0.25">
      <c r="A609" s="18" t="s">
        <v>2403</v>
      </c>
      <c r="B609" s="19" t="s">
        <v>40</v>
      </c>
      <c r="C609" s="19" t="s">
        <v>2309</v>
      </c>
      <c r="D609" s="19" t="s">
        <v>2319</v>
      </c>
      <c r="E609" s="19" t="s">
        <v>1968</v>
      </c>
      <c r="F609" s="20"/>
      <c r="G609" s="21" t="s">
        <v>2404</v>
      </c>
      <c r="H609" s="18" t="s">
        <v>331</v>
      </c>
      <c r="I609" s="19" t="s">
        <v>191</v>
      </c>
      <c r="J609" s="210"/>
      <c r="K609" s="250"/>
      <c r="L609" s="251"/>
      <c r="M609" s="252"/>
      <c r="N609" s="253"/>
      <c r="O609" s="252"/>
      <c r="P609" s="254"/>
      <c r="Q609" s="418"/>
      <c r="R609" s="419"/>
      <c r="S609" s="420"/>
      <c r="T609" s="421"/>
      <c r="U609" s="420"/>
      <c r="V609" s="422"/>
      <c r="W609" s="597"/>
      <c r="X609" s="598"/>
      <c r="Y609" s="599"/>
      <c r="Z609" s="600"/>
      <c r="AA609" s="599"/>
      <c r="AB609" s="601"/>
      <c r="AC609" s="781"/>
      <c r="AD609" s="782"/>
      <c r="AE609" s="783"/>
      <c r="AF609" s="784"/>
      <c r="AG609" s="783"/>
      <c r="AH609" s="957"/>
      <c r="AI609" s="913"/>
    </row>
    <row r="610" spans="1:35" ht="51.75" x14ac:dyDescent="0.25">
      <c r="A610" s="18" t="s">
        <v>2405</v>
      </c>
      <c r="B610" s="19" t="s">
        <v>40</v>
      </c>
      <c r="C610" s="19" t="s">
        <v>2309</v>
      </c>
      <c r="D610" s="19" t="s">
        <v>2319</v>
      </c>
      <c r="E610" s="19" t="s">
        <v>1971</v>
      </c>
      <c r="F610" s="20"/>
      <c r="G610" s="21" t="s">
        <v>2406</v>
      </c>
      <c r="H610" s="18" t="s">
        <v>331</v>
      </c>
      <c r="I610" s="19" t="s">
        <v>432</v>
      </c>
      <c r="J610" s="210"/>
      <c r="K610" s="250"/>
      <c r="L610" s="251"/>
      <c r="M610" s="252"/>
      <c r="N610" s="253"/>
      <c r="O610" s="252"/>
      <c r="P610" s="254"/>
      <c r="Q610" s="418"/>
      <c r="R610" s="419"/>
      <c r="S610" s="420"/>
      <c r="T610" s="421"/>
      <c r="U610" s="420"/>
      <c r="V610" s="422"/>
      <c r="W610" s="597"/>
      <c r="X610" s="598"/>
      <c r="Y610" s="599"/>
      <c r="Z610" s="600"/>
      <c r="AA610" s="599"/>
      <c r="AB610" s="601"/>
      <c r="AC610" s="781"/>
      <c r="AD610" s="782"/>
      <c r="AE610" s="783"/>
      <c r="AF610" s="784"/>
      <c r="AG610" s="783"/>
      <c r="AH610" s="957"/>
      <c r="AI610" s="913"/>
    </row>
    <row r="611" spans="1:35" ht="51.75" x14ac:dyDescent="0.25">
      <c r="A611" s="18" t="s">
        <v>2407</v>
      </c>
      <c r="B611" s="19" t="s">
        <v>40</v>
      </c>
      <c r="C611" s="19" t="s">
        <v>2309</v>
      </c>
      <c r="D611" s="19" t="s">
        <v>2319</v>
      </c>
      <c r="E611" s="19" t="s">
        <v>2408</v>
      </c>
      <c r="F611" s="20"/>
      <c r="G611" s="21" t="s">
        <v>2409</v>
      </c>
      <c r="H611" s="18" t="s">
        <v>331</v>
      </c>
      <c r="I611" s="19" t="s">
        <v>432</v>
      </c>
      <c r="J611" s="210"/>
      <c r="K611" s="250"/>
      <c r="L611" s="251"/>
      <c r="M611" s="252"/>
      <c r="N611" s="253"/>
      <c r="O611" s="252"/>
      <c r="P611" s="254"/>
      <c r="Q611" s="418"/>
      <c r="R611" s="419"/>
      <c r="S611" s="420"/>
      <c r="T611" s="421"/>
      <c r="U611" s="420"/>
      <c r="V611" s="422"/>
      <c r="W611" s="597"/>
      <c r="X611" s="598"/>
      <c r="Y611" s="599"/>
      <c r="Z611" s="600"/>
      <c r="AA611" s="599"/>
      <c r="AB611" s="601"/>
      <c r="AC611" s="781"/>
      <c r="AD611" s="782"/>
      <c r="AE611" s="783"/>
      <c r="AF611" s="784"/>
      <c r="AG611" s="783"/>
      <c r="AH611" s="957"/>
      <c r="AI611" s="913"/>
    </row>
    <row r="612" spans="1:35" ht="51.75" x14ac:dyDescent="0.25">
      <c r="A612" s="18" t="s">
        <v>2410</v>
      </c>
      <c r="B612" s="19" t="s">
        <v>40</v>
      </c>
      <c r="C612" s="19" t="s">
        <v>2309</v>
      </c>
      <c r="D612" s="19" t="s">
        <v>2319</v>
      </c>
      <c r="E612" s="19" t="s">
        <v>2411</v>
      </c>
      <c r="F612" s="20"/>
      <c r="G612" s="21" t="s">
        <v>2412</v>
      </c>
      <c r="H612" s="18" t="s">
        <v>331</v>
      </c>
      <c r="I612" s="19" t="s">
        <v>432</v>
      </c>
      <c r="J612" s="210"/>
      <c r="K612" s="250"/>
      <c r="L612" s="251"/>
      <c r="M612" s="252"/>
      <c r="N612" s="253"/>
      <c r="O612" s="252"/>
      <c r="P612" s="254"/>
      <c r="Q612" s="418"/>
      <c r="R612" s="419"/>
      <c r="S612" s="420"/>
      <c r="T612" s="421"/>
      <c r="U612" s="420"/>
      <c r="V612" s="422"/>
      <c r="W612" s="597"/>
      <c r="X612" s="598"/>
      <c r="Y612" s="599"/>
      <c r="Z612" s="600"/>
      <c r="AA612" s="599"/>
      <c r="AB612" s="601"/>
      <c r="AC612" s="781"/>
      <c r="AD612" s="782"/>
      <c r="AE612" s="783"/>
      <c r="AF612" s="784"/>
      <c r="AG612" s="783"/>
      <c r="AH612" s="957"/>
      <c r="AI612" s="913"/>
    </row>
    <row r="613" spans="1:35" ht="51.75" x14ac:dyDescent="0.25">
      <c r="A613" s="18" t="s">
        <v>2413</v>
      </c>
      <c r="B613" s="19" t="s">
        <v>40</v>
      </c>
      <c r="C613" s="19" t="s">
        <v>2309</v>
      </c>
      <c r="D613" s="19" t="s">
        <v>2319</v>
      </c>
      <c r="E613" s="19" t="s">
        <v>2414</v>
      </c>
      <c r="F613" s="20"/>
      <c r="G613" s="21" t="s">
        <v>2415</v>
      </c>
      <c r="H613" s="18" t="s">
        <v>331</v>
      </c>
      <c r="I613" s="19" t="s">
        <v>432</v>
      </c>
      <c r="J613" s="210"/>
      <c r="K613" s="250"/>
      <c r="L613" s="251"/>
      <c r="M613" s="252"/>
      <c r="N613" s="253"/>
      <c r="O613" s="252"/>
      <c r="P613" s="254"/>
      <c r="Q613" s="418"/>
      <c r="R613" s="419"/>
      <c r="S613" s="420"/>
      <c r="T613" s="421"/>
      <c r="U613" s="420"/>
      <c r="V613" s="422"/>
      <c r="W613" s="597"/>
      <c r="X613" s="598"/>
      <c r="Y613" s="599"/>
      <c r="Z613" s="600"/>
      <c r="AA613" s="599"/>
      <c r="AB613" s="601"/>
      <c r="AC613" s="781"/>
      <c r="AD613" s="782"/>
      <c r="AE613" s="783"/>
      <c r="AF613" s="784"/>
      <c r="AG613" s="783"/>
      <c r="AH613" s="957"/>
      <c r="AI613" s="913"/>
    </row>
    <row r="614" spans="1:35" ht="51.75" x14ac:dyDescent="0.25">
      <c r="A614" s="18" t="s">
        <v>2416</v>
      </c>
      <c r="B614" s="19" t="s">
        <v>40</v>
      </c>
      <c r="C614" s="19" t="s">
        <v>2309</v>
      </c>
      <c r="D614" s="19" t="s">
        <v>2319</v>
      </c>
      <c r="E614" s="19" t="s">
        <v>2417</v>
      </c>
      <c r="F614" s="20"/>
      <c r="G614" s="21" t="s">
        <v>2418</v>
      </c>
      <c r="H614" s="18" t="s">
        <v>331</v>
      </c>
      <c r="I614" s="19" t="s">
        <v>432</v>
      </c>
      <c r="J614" s="210"/>
      <c r="K614" s="250"/>
      <c r="L614" s="251"/>
      <c r="M614" s="252"/>
      <c r="N614" s="253"/>
      <c r="O614" s="252"/>
      <c r="P614" s="254"/>
      <c r="Q614" s="418"/>
      <c r="R614" s="419"/>
      <c r="S614" s="420"/>
      <c r="T614" s="421"/>
      <c r="U614" s="420"/>
      <c r="V614" s="422"/>
      <c r="W614" s="597"/>
      <c r="X614" s="598"/>
      <c r="Y614" s="599"/>
      <c r="Z614" s="600"/>
      <c r="AA614" s="599"/>
      <c r="AB614" s="601"/>
      <c r="AC614" s="781"/>
      <c r="AD614" s="782"/>
      <c r="AE614" s="783"/>
      <c r="AF614" s="784"/>
      <c r="AG614" s="783"/>
      <c r="AH614" s="957"/>
      <c r="AI614" s="913"/>
    </row>
    <row r="615" spans="1:35" ht="26.25" x14ac:dyDescent="0.25">
      <c r="A615" s="18" t="s">
        <v>2419</v>
      </c>
      <c r="B615" s="19" t="s">
        <v>40</v>
      </c>
      <c r="C615" s="19" t="s">
        <v>2309</v>
      </c>
      <c r="D615" s="19" t="s">
        <v>2319</v>
      </c>
      <c r="E615" s="19" t="s">
        <v>1433</v>
      </c>
      <c r="F615" s="20"/>
      <c r="G615" s="21" t="s">
        <v>2420</v>
      </c>
      <c r="H615" s="18" t="s">
        <v>331</v>
      </c>
      <c r="I615" s="19" t="s">
        <v>52</v>
      </c>
      <c r="J615" s="210"/>
      <c r="K615" s="250"/>
      <c r="L615" s="251"/>
      <c r="M615" s="252"/>
      <c r="N615" s="253"/>
      <c r="O615" s="252"/>
      <c r="P615" s="254"/>
      <c r="Q615" s="418"/>
      <c r="R615" s="419"/>
      <c r="S615" s="420"/>
      <c r="T615" s="421"/>
      <c r="U615" s="420"/>
      <c r="V615" s="422"/>
      <c r="W615" s="597"/>
      <c r="X615" s="598"/>
      <c r="Y615" s="599"/>
      <c r="Z615" s="600"/>
      <c r="AA615" s="599"/>
      <c r="AB615" s="601"/>
      <c r="AC615" s="781"/>
      <c r="AD615" s="782"/>
      <c r="AE615" s="783"/>
      <c r="AF615" s="784"/>
      <c r="AG615" s="783"/>
      <c r="AH615" s="957"/>
      <c r="AI615" s="913"/>
    </row>
    <row r="616" spans="1:35" ht="51.75" x14ac:dyDescent="0.25">
      <c r="A616" s="110" t="s">
        <v>2421</v>
      </c>
      <c r="B616" s="111" t="s">
        <v>40</v>
      </c>
      <c r="C616" s="111" t="s">
        <v>2309</v>
      </c>
      <c r="D616" s="111" t="s">
        <v>2319</v>
      </c>
      <c r="E616" s="111" t="s">
        <v>2422</v>
      </c>
      <c r="F616" s="112" t="s">
        <v>2423</v>
      </c>
      <c r="G616" s="113" t="s">
        <v>1262</v>
      </c>
      <c r="H616" s="110"/>
      <c r="I616" s="111"/>
      <c r="J616" s="210"/>
      <c r="K616" s="250"/>
      <c r="L616" s="251"/>
      <c r="M616" s="252"/>
      <c r="N616" s="253"/>
      <c r="O616" s="252"/>
      <c r="P616" s="254"/>
      <c r="Q616" s="418"/>
      <c r="R616" s="419"/>
      <c r="S616" s="420"/>
      <c r="T616" s="421"/>
      <c r="U616" s="420"/>
      <c r="V616" s="422"/>
      <c r="W616" s="597"/>
      <c r="X616" s="598"/>
      <c r="Y616" s="599"/>
      <c r="Z616" s="600"/>
      <c r="AA616" s="599"/>
      <c r="AB616" s="601"/>
      <c r="AC616" s="781"/>
      <c r="AD616" s="782"/>
      <c r="AE616" s="783"/>
      <c r="AF616" s="784"/>
      <c r="AG616" s="783"/>
      <c r="AH616" s="957"/>
      <c r="AI616" s="931"/>
    </row>
    <row r="617" spans="1:35" ht="26.25" x14ac:dyDescent="0.25">
      <c r="A617" s="18" t="s">
        <v>2424</v>
      </c>
      <c r="B617" s="19" t="s">
        <v>40</v>
      </c>
      <c r="C617" s="19" t="s">
        <v>2309</v>
      </c>
      <c r="D617" s="19" t="s">
        <v>2319</v>
      </c>
      <c r="E617" s="19" t="s">
        <v>1321</v>
      </c>
      <c r="F617" s="20"/>
      <c r="G617" s="21" t="s">
        <v>2425</v>
      </c>
      <c r="H617" s="18" t="s">
        <v>331</v>
      </c>
      <c r="I617" s="19" t="s">
        <v>1272</v>
      </c>
      <c r="J617" s="210"/>
      <c r="K617" s="250"/>
      <c r="L617" s="251"/>
      <c r="M617" s="252"/>
      <c r="N617" s="253"/>
      <c r="O617" s="252"/>
      <c r="P617" s="254"/>
      <c r="Q617" s="418"/>
      <c r="R617" s="419"/>
      <c r="S617" s="420"/>
      <c r="T617" s="421"/>
      <c r="U617" s="420"/>
      <c r="V617" s="422"/>
      <c r="W617" s="597"/>
      <c r="X617" s="598"/>
      <c r="Y617" s="599"/>
      <c r="Z617" s="600"/>
      <c r="AA617" s="599"/>
      <c r="AB617" s="601"/>
      <c r="AC617" s="781"/>
      <c r="AD617" s="782"/>
      <c r="AE617" s="783"/>
      <c r="AF617" s="784"/>
      <c r="AG617" s="783"/>
      <c r="AH617" s="957"/>
      <c r="AI617" s="913"/>
    </row>
    <row r="618" spans="1:35" ht="26.25" x14ac:dyDescent="0.25">
      <c r="A618" s="18" t="s">
        <v>2426</v>
      </c>
      <c r="B618" s="19" t="s">
        <v>40</v>
      </c>
      <c r="C618" s="19" t="s">
        <v>2309</v>
      </c>
      <c r="D618" s="19" t="s">
        <v>2319</v>
      </c>
      <c r="E618" s="19" t="s">
        <v>2427</v>
      </c>
      <c r="F618" s="20"/>
      <c r="G618" s="21" t="s">
        <v>2428</v>
      </c>
      <c r="H618" s="18" t="s">
        <v>331</v>
      </c>
      <c r="I618" s="19" t="s">
        <v>89</v>
      </c>
      <c r="J618" s="210"/>
      <c r="K618" s="250"/>
      <c r="L618" s="251"/>
      <c r="M618" s="252"/>
      <c r="N618" s="253"/>
      <c r="O618" s="252"/>
      <c r="P618" s="254"/>
      <c r="Q618" s="418"/>
      <c r="R618" s="419"/>
      <c r="S618" s="420"/>
      <c r="T618" s="421"/>
      <c r="U618" s="420"/>
      <c r="V618" s="422"/>
      <c r="W618" s="597"/>
      <c r="X618" s="598"/>
      <c r="Y618" s="599"/>
      <c r="Z618" s="600"/>
      <c r="AA618" s="599"/>
      <c r="AB618" s="601"/>
      <c r="AC618" s="781"/>
      <c r="AD618" s="782"/>
      <c r="AE618" s="783"/>
      <c r="AF618" s="784"/>
      <c r="AG618" s="783"/>
      <c r="AH618" s="957"/>
      <c r="AI618" s="913"/>
    </row>
    <row r="619" spans="1:35" ht="51.75" x14ac:dyDescent="0.25">
      <c r="A619" s="18" t="s">
        <v>2429</v>
      </c>
      <c r="B619" s="19" t="s">
        <v>40</v>
      </c>
      <c r="C619" s="19" t="s">
        <v>2309</v>
      </c>
      <c r="D619" s="19" t="s">
        <v>2319</v>
      </c>
      <c r="E619" s="19" t="s">
        <v>2430</v>
      </c>
      <c r="F619" s="20" t="s">
        <v>2431</v>
      </c>
      <c r="G619" s="21" t="s">
        <v>2432</v>
      </c>
      <c r="H619" s="18" t="s">
        <v>331</v>
      </c>
      <c r="I619" s="19" t="s">
        <v>1519</v>
      </c>
      <c r="J619" s="210"/>
      <c r="K619" s="250" t="s">
        <v>149</v>
      </c>
      <c r="L619" s="251" t="s">
        <v>344</v>
      </c>
      <c r="M619" s="279">
        <f>(1051917/50000)-K619</f>
        <v>20.038340000000002</v>
      </c>
      <c r="N619" s="280">
        <f>1051917/50000</f>
        <v>21.038340000000002</v>
      </c>
      <c r="O619" s="279">
        <f>(1051917/20000)-K619</f>
        <v>51.595849999999999</v>
      </c>
      <c r="P619" s="281">
        <f>1051917/20000</f>
        <v>52.595849999999999</v>
      </c>
      <c r="Q619" s="458" t="s">
        <v>60</v>
      </c>
      <c r="R619" s="419" t="s">
        <v>61</v>
      </c>
      <c r="S619" s="439">
        <f>(578592/50000)-Q619</f>
        <v>11.57184</v>
      </c>
      <c r="T619" s="440" t="s">
        <v>61</v>
      </c>
      <c r="U619" s="439">
        <f>(578592/20000)-Q619</f>
        <v>28.929600000000001</v>
      </c>
      <c r="V619" s="441" t="s">
        <v>61</v>
      </c>
      <c r="W619" s="617" t="s">
        <v>60</v>
      </c>
      <c r="X619" s="598" t="s">
        <v>61</v>
      </c>
      <c r="Y619" s="644">
        <f>(189789/50000)-W619</f>
        <v>3.7957800000000002</v>
      </c>
      <c r="Z619" s="645" t="s">
        <v>61</v>
      </c>
      <c r="AA619" s="644">
        <f>(189789/20000)-W619</f>
        <v>9.4894499999999997</v>
      </c>
      <c r="AB619" s="646" t="s">
        <v>61</v>
      </c>
      <c r="AC619" s="781" t="s">
        <v>149</v>
      </c>
      <c r="AD619" s="782" t="s">
        <v>150</v>
      </c>
      <c r="AE619" s="804">
        <f>(263509/50000)-AC619</f>
        <v>4.2701799999999999</v>
      </c>
      <c r="AF619" s="805">
        <f>263509/50000</f>
        <v>5.2701799999999999</v>
      </c>
      <c r="AG619" s="804">
        <f>(263509/20000)-AC619</f>
        <v>12.17545</v>
      </c>
      <c r="AH619" s="964">
        <f>263509/20000</f>
        <v>13.17545</v>
      </c>
      <c r="AI619" s="913"/>
    </row>
    <row r="620" spans="1:35" ht="90" x14ac:dyDescent="0.25">
      <c r="A620" s="27" t="s">
        <v>2433</v>
      </c>
      <c r="B620" s="28" t="s">
        <v>40</v>
      </c>
      <c r="C620" s="28" t="s">
        <v>2309</v>
      </c>
      <c r="D620" s="28" t="s">
        <v>2319</v>
      </c>
      <c r="E620" s="28"/>
      <c r="F620" s="29" t="s">
        <v>2434</v>
      </c>
      <c r="G620" s="30" t="s">
        <v>2319</v>
      </c>
      <c r="H620" s="27" t="s">
        <v>2435</v>
      </c>
      <c r="I620" s="28" t="s">
        <v>276</v>
      </c>
      <c r="J620" s="211"/>
      <c r="K620" s="261">
        <f>SUM(K586+K588+K589+K593+K595+K598+K599+K600+K603+K605+K608+K619)</f>
        <v>114</v>
      </c>
      <c r="L620" s="262" t="s">
        <v>2436</v>
      </c>
      <c r="M620" s="263">
        <f>(1051917/15000)-K620</f>
        <v>-43.872200000000007</v>
      </c>
      <c r="N620" s="264">
        <f>9227/15000</f>
        <v>0.61513333333333331</v>
      </c>
      <c r="O620" s="263">
        <f>(1051917/10000)-K620</f>
        <v>-8.8083000000000027</v>
      </c>
      <c r="P620" s="265">
        <f>9227/10000</f>
        <v>0.92269999999999996</v>
      </c>
      <c r="Q620" s="431">
        <f>SUM(Q586+Q588+Q589+Q593+Q595+Q598+Q599+Q600+Q603+Q605+Q608+Q619)</f>
        <v>67</v>
      </c>
      <c r="R620" s="432" t="s">
        <v>2437</v>
      </c>
      <c r="S620" s="433">
        <f>(578592/15000)-Q620</f>
        <v>-28.427199999999999</v>
      </c>
      <c r="T620" s="434">
        <f>8635/15000</f>
        <v>0.57566666666666666</v>
      </c>
      <c r="U620" s="433">
        <f>(578592/10000)-Q620</f>
        <v>-9.1407999999999987</v>
      </c>
      <c r="V620" s="435">
        <f>8635/10000</f>
        <v>0.86350000000000005</v>
      </c>
      <c r="W620" s="611">
        <f>SUM(W586+W588+W589+W593+W595+W598+W599+W600+W603+W605+W608+W619)</f>
        <v>24</v>
      </c>
      <c r="X620" s="612" t="s">
        <v>295</v>
      </c>
      <c r="Y620" s="613">
        <f>(189789/15000)-W620</f>
        <v>-11.3474</v>
      </c>
      <c r="Z620" s="614">
        <f>7907/15000</f>
        <v>0.52713333333333334</v>
      </c>
      <c r="AA620" s="613">
        <f>(189789/10000)-W620</f>
        <v>-5.0211000000000006</v>
      </c>
      <c r="AB620" s="615">
        <f>7907/10000</f>
        <v>0.79069999999999996</v>
      </c>
      <c r="AC620" s="892">
        <f>SUM(AC586+AC588+AC589+AC593+AC595+AC598+AC599+AC600+AC603+AC605+AC608+AC619)</f>
        <v>23</v>
      </c>
      <c r="AD620" s="793" t="s">
        <v>2438</v>
      </c>
      <c r="AE620" s="806">
        <f>(263509/15000)-AC620</f>
        <v>-5.432733333333335</v>
      </c>
      <c r="AF620" s="807">
        <f>11457/15000</f>
        <v>0.76380000000000003</v>
      </c>
      <c r="AG620" s="806">
        <f>(263509/10000)-AC620</f>
        <v>3.3508999999999993</v>
      </c>
      <c r="AH620" s="965">
        <f>11457/10000</f>
        <v>1.1456999999999999</v>
      </c>
      <c r="AI620" s="915" t="s">
        <v>2439</v>
      </c>
    </row>
    <row r="621" spans="1:35" ht="75" x14ac:dyDescent="0.25">
      <c r="A621" s="41" t="s">
        <v>2440</v>
      </c>
      <c r="B621" s="42" t="s">
        <v>40</v>
      </c>
      <c r="C621" s="42" t="s">
        <v>2309</v>
      </c>
      <c r="D621" s="42" t="s">
        <v>2441</v>
      </c>
      <c r="E621" s="42"/>
      <c r="F621" s="43" t="s">
        <v>2442</v>
      </c>
      <c r="G621" s="44" t="s">
        <v>2442</v>
      </c>
      <c r="H621" s="41" t="s">
        <v>2443</v>
      </c>
      <c r="I621" s="42" t="s">
        <v>276</v>
      </c>
      <c r="J621" s="211"/>
      <c r="K621" s="261" t="s">
        <v>2444</v>
      </c>
      <c r="L621" s="262" t="s">
        <v>2445</v>
      </c>
      <c r="M621" s="263">
        <f>(1051917/15000)-K621</f>
        <v>-151.87220000000002</v>
      </c>
      <c r="N621" s="264">
        <f>4738/15000</f>
        <v>0.31586666666666668</v>
      </c>
      <c r="O621" s="263">
        <f>(1051917/10000)-K621</f>
        <v>-116.8083</v>
      </c>
      <c r="P621" s="265">
        <f>4738/10000</f>
        <v>0.4738</v>
      </c>
      <c r="Q621" s="431" t="s">
        <v>2446</v>
      </c>
      <c r="R621" s="432" t="s">
        <v>2447</v>
      </c>
      <c r="S621" s="433">
        <f>(578592/15000)-Q621</f>
        <v>-120.4272</v>
      </c>
      <c r="T621" s="434">
        <f>3628/15000</f>
        <v>0.24186666666666667</v>
      </c>
      <c r="U621" s="433">
        <f>(578592/10000)-Q621</f>
        <v>-101.1408</v>
      </c>
      <c r="V621" s="435">
        <f>3638/10000</f>
        <v>0.36380000000000001</v>
      </c>
      <c r="W621" s="611" t="s">
        <v>633</v>
      </c>
      <c r="X621" s="612" t="s">
        <v>688</v>
      </c>
      <c r="Y621" s="621">
        <f>(189789/15000)-W621</f>
        <v>-2.3474000000000004</v>
      </c>
      <c r="Z621" s="622">
        <f>12652/15000</f>
        <v>0.8434666666666667</v>
      </c>
      <c r="AA621" s="621">
        <f>(189789/10000)-W621</f>
        <v>3.9788999999999994</v>
      </c>
      <c r="AB621" s="623">
        <f>12652/10000</f>
        <v>1.2652000000000001</v>
      </c>
      <c r="AC621" s="792" t="s">
        <v>186</v>
      </c>
      <c r="AD621" s="793" t="s">
        <v>251</v>
      </c>
      <c r="AE621" s="794">
        <f>(263509/15000)-AC621</f>
        <v>-30.432733333333335</v>
      </c>
      <c r="AF621" s="795">
        <f>5489/15000</f>
        <v>0.36593333333333333</v>
      </c>
      <c r="AG621" s="794">
        <f>(263509/10000)-AC621</f>
        <v>-21.649100000000001</v>
      </c>
      <c r="AH621" s="959">
        <f>5489/10000</f>
        <v>0.54890000000000005</v>
      </c>
      <c r="AI621" s="918" t="s">
        <v>2448</v>
      </c>
    </row>
    <row r="622" spans="1:35" ht="26.25" x14ac:dyDescent="0.25">
      <c r="A622" s="18" t="s">
        <v>2449</v>
      </c>
      <c r="B622" s="19" t="s">
        <v>40</v>
      </c>
      <c r="C622" s="19" t="s">
        <v>2309</v>
      </c>
      <c r="D622" s="19" t="s">
        <v>2450</v>
      </c>
      <c r="E622" s="19" t="s">
        <v>2320</v>
      </c>
      <c r="F622" s="20" t="s">
        <v>2451</v>
      </c>
      <c r="G622" s="21" t="s">
        <v>2452</v>
      </c>
      <c r="H622" s="18" t="s">
        <v>2453</v>
      </c>
      <c r="I622" s="19" t="s">
        <v>276</v>
      </c>
      <c r="J622" s="210"/>
      <c r="K622" s="250" t="s">
        <v>1236</v>
      </c>
      <c r="L622" s="251" t="s">
        <v>2454</v>
      </c>
      <c r="M622" s="279">
        <f>(1051917/15000)-K622</f>
        <v>60.127799999999993</v>
      </c>
      <c r="N622" s="280">
        <f>105192/15000</f>
        <v>7.0128000000000004</v>
      </c>
      <c r="O622" s="279">
        <f>(1051917/10000)-K622</f>
        <v>95.191699999999997</v>
      </c>
      <c r="P622" s="281">
        <f>105192/10000</f>
        <v>10.5192</v>
      </c>
      <c r="Q622" s="418" t="s">
        <v>145</v>
      </c>
      <c r="R622" s="419" t="s">
        <v>2455</v>
      </c>
      <c r="S622" s="439">
        <f>(578592/15000)-Q622</f>
        <v>32.572800000000001</v>
      </c>
      <c r="T622" s="440">
        <f>96432/15000</f>
        <v>6.4287999999999998</v>
      </c>
      <c r="U622" s="439">
        <f>(578592/10000)-Q622</f>
        <v>51.859200000000001</v>
      </c>
      <c r="V622" s="441">
        <f>96432/10000</f>
        <v>9.6432000000000002</v>
      </c>
      <c r="W622" s="597" t="s">
        <v>149</v>
      </c>
      <c r="X622" s="598" t="s">
        <v>739</v>
      </c>
      <c r="Y622" s="644">
        <f>(189789/15000)-W622</f>
        <v>11.6526</v>
      </c>
      <c r="Z622" s="645">
        <f>189789/15000</f>
        <v>12.6526</v>
      </c>
      <c r="AA622" s="644">
        <f>(189789/10000)-W622</f>
        <v>17.978899999999999</v>
      </c>
      <c r="AB622" s="646">
        <f>189789/10000</f>
        <v>18.978899999999999</v>
      </c>
      <c r="AC622" s="781" t="s">
        <v>70</v>
      </c>
      <c r="AD622" s="782" t="s">
        <v>71</v>
      </c>
      <c r="AE622" s="804">
        <f>(263509/15000)-AC622</f>
        <v>14.567266666666665</v>
      </c>
      <c r="AF622" s="805">
        <f>87836/15000</f>
        <v>5.8557333333333332</v>
      </c>
      <c r="AG622" s="804">
        <f>(263509/10000)-AC622</f>
        <v>23.350899999999999</v>
      </c>
      <c r="AH622" s="964">
        <f>87836/10000</f>
        <v>8.7835999999999999</v>
      </c>
      <c r="AI622" s="913"/>
    </row>
    <row r="623" spans="1:35" ht="26.25" x14ac:dyDescent="0.25">
      <c r="A623" s="18" t="s">
        <v>2456</v>
      </c>
      <c r="B623" s="19" t="s">
        <v>40</v>
      </c>
      <c r="C623" s="19" t="s">
        <v>2309</v>
      </c>
      <c r="D623" s="19" t="s">
        <v>2450</v>
      </c>
      <c r="E623" s="19" t="s">
        <v>2325</v>
      </c>
      <c r="F623" s="20" t="s">
        <v>2457</v>
      </c>
      <c r="G623" s="21" t="s">
        <v>2458</v>
      </c>
      <c r="H623" s="18" t="s">
        <v>2459</v>
      </c>
      <c r="I623" s="19" t="s">
        <v>383</v>
      </c>
      <c r="J623" s="210"/>
      <c r="K623" s="250" t="s">
        <v>2460</v>
      </c>
      <c r="L623" s="251" t="s">
        <v>2461</v>
      </c>
      <c r="M623" s="279">
        <f>(1051917/3000)-K623</f>
        <v>280.63900000000001</v>
      </c>
      <c r="N623" s="280">
        <f>15027/3000</f>
        <v>5.0090000000000003</v>
      </c>
      <c r="O623" s="279">
        <f>(1051917/2000)-K623</f>
        <v>455.95849999999996</v>
      </c>
      <c r="P623" s="281">
        <f>15027/2000</f>
        <v>7.5134999999999996</v>
      </c>
      <c r="Q623" s="418" t="s">
        <v>958</v>
      </c>
      <c r="R623" s="419" t="s">
        <v>2462</v>
      </c>
      <c r="S623" s="439">
        <f>(578592/3000)-Q623</f>
        <v>143.864</v>
      </c>
      <c r="T623" s="440">
        <f>11808/3000</f>
        <v>3.9359999999999999</v>
      </c>
      <c r="U623" s="439">
        <f>(578592/2000)-Q623</f>
        <v>240.29599999999999</v>
      </c>
      <c r="V623" s="441">
        <f>11808/2000</f>
        <v>5.9039999999999999</v>
      </c>
      <c r="W623" s="597" t="s">
        <v>324</v>
      </c>
      <c r="X623" s="598" t="s">
        <v>516</v>
      </c>
      <c r="Y623" s="644">
        <f>(189789/3000)-W623</f>
        <v>54.262999999999998</v>
      </c>
      <c r="Z623" s="645">
        <f>21087/3000</f>
        <v>7.0289999999999999</v>
      </c>
      <c r="AA623" s="644">
        <f>(189789/2000)-W623</f>
        <v>85.894499999999994</v>
      </c>
      <c r="AB623" s="646">
        <f>21087/2000</f>
        <v>10.5435</v>
      </c>
      <c r="AC623" s="781" t="s">
        <v>674</v>
      </c>
      <c r="AD623" s="782" t="s">
        <v>2463</v>
      </c>
      <c r="AE623" s="804">
        <f>(263509/3000)-AC623</f>
        <v>75.836333333333329</v>
      </c>
      <c r="AF623" s="805">
        <f>21959/3000</f>
        <v>7.3196666666666665</v>
      </c>
      <c r="AG623" s="804">
        <f>(263509/2000)-AC623</f>
        <v>119.75450000000001</v>
      </c>
      <c r="AH623" s="964">
        <f>21959/2000</f>
        <v>10.9795</v>
      </c>
      <c r="AI623" s="913"/>
    </row>
    <row r="624" spans="1:35" ht="51.75" x14ac:dyDescent="0.25">
      <c r="A624" s="110" t="s">
        <v>2464</v>
      </c>
      <c r="B624" s="111" t="s">
        <v>40</v>
      </c>
      <c r="C624" s="111" t="s">
        <v>2309</v>
      </c>
      <c r="D624" s="111" t="s">
        <v>2450</v>
      </c>
      <c r="E624" s="111" t="s">
        <v>2465</v>
      </c>
      <c r="F624" s="112" t="s">
        <v>2466</v>
      </c>
      <c r="G624" s="113" t="s">
        <v>1262</v>
      </c>
      <c r="H624" s="110"/>
      <c r="I624" s="111"/>
      <c r="J624" s="210"/>
      <c r="K624" s="250" t="s">
        <v>2467</v>
      </c>
      <c r="L624" s="251" t="s">
        <v>2468</v>
      </c>
      <c r="M624" s="252" t="s">
        <v>331</v>
      </c>
      <c r="N624" s="253" t="s">
        <v>61</v>
      </c>
      <c r="O624" s="252" t="s">
        <v>331</v>
      </c>
      <c r="P624" s="254" t="s">
        <v>61</v>
      </c>
      <c r="Q624" s="418" t="s">
        <v>1113</v>
      </c>
      <c r="R624" s="419" t="s">
        <v>1114</v>
      </c>
      <c r="S624" s="420" t="s">
        <v>331</v>
      </c>
      <c r="T624" s="421" t="s">
        <v>61</v>
      </c>
      <c r="U624" s="420" t="s">
        <v>331</v>
      </c>
      <c r="V624" s="422" t="s">
        <v>61</v>
      </c>
      <c r="W624" s="597" t="s">
        <v>320</v>
      </c>
      <c r="X624" s="598" t="s">
        <v>2469</v>
      </c>
      <c r="Y624" s="599" t="s">
        <v>331</v>
      </c>
      <c r="Z624" s="600" t="s">
        <v>61</v>
      </c>
      <c r="AA624" s="599" t="s">
        <v>331</v>
      </c>
      <c r="AB624" s="601" t="s">
        <v>61</v>
      </c>
      <c r="AC624" s="781" t="s">
        <v>2470</v>
      </c>
      <c r="AD624" s="782" t="s">
        <v>2471</v>
      </c>
      <c r="AE624" s="783" t="s">
        <v>331</v>
      </c>
      <c r="AF624" s="784" t="s">
        <v>61</v>
      </c>
      <c r="AG624" s="783" t="s">
        <v>331</v>
      </c>
      <c r="AH624" s="957" t="s">
        <v>61</v>
      </c>
      <c r="AI624" s="931"/>
    </row>
    <row r="625" spans="1:35" ht="26.25" x14ac:dyDescent="0.25">
      <c r="A625" s="18" t="s">
        <v>2472</v>
      </c>
      <c r="B625" s="19" t="s">
        <v>40</v>
      </c>
      <c r="C625" s="19" t="s">
        <v>2309</v>
      </c>
      <c r="D625" s="19" t="s">
        <v>2450</v>
      </c>
      <c r="E625" s="19" t="s">
        <v>1837</v>
      </c>
      <c r="F625" s="20"/>
      <c r="G625" s="21" t="s">
        <v>2473</v>
      </c>
      <c r="H625" s="18" t="s">
        <v>2474</v>
      </c>
      <c r="I625" s="19" t="s">
        <v>383</v>
      </c>
      <c r="J625" s="210"/>
      <c r="K625" s="250"/>
      <c r="L625" s="251"/>
      <c r="M625" s="252"/>
      <c r="N625" s="253"/>
      <c r="O625" s="252"/>
      <c r="P625" s="254"/>
      <c r="Q625" s="418"/>
      <c r="R625" s="419"/>
      <c r="S625" s="420"/>
      <c r="T625" s="421"/>
      <c r="U625" s="420"/>
      <c r="V625" s="422"/>
      <c r="W625" s="597"/>
      <c r="X625" s="598"/>
      <c r="Y625" s="599"/>
      <c r="Z625" s="600"/>
      <c r="AA625" s="599"/>
      <c r="AB625" s="601"/>
      <c r="AC625" s="781"/>
      <c r="AD625" s="782"/>
      <c r="AE625" s="783"/>
      <c r="AF625" s="784"/>
      <c r="AG625" s="783"/>
      <c r="AH625" s="957"/>
      <c r="AI625" s="913"/>
    </row>
    <row r="626" spans="1:35" ht="26.25" x14ac:dyDescent="0.25">
      <c r="A626" s="18" t="s">
        <v>2475</v>
      </c>
      <c r="B626" s="19" t="s">
        <v>40</v>
      </c>
      <c r="C626" s="19" t="s">
        <v>2309</v>
      </c>
      <c r="D626" s="19" t="s">
        <v>2450</v>
      </c>
      <c r="E626" s="19" t="s">
        <v>86</v>
      </c>
      <c r="F626" s="20" t="s">
        <v>2476</v>
      </c>
      <c r="G626" s="21" t="s">
        <v>2477</v>
      </c>
      <c r="H626" s="18" t="s">
        <v>2478</v>
      </c>
      <c r="I626" s="19" t="s">
        <v>276</v>
      </c>
      <c r="J626" s="210"/>
      <c r="K626" s="250"/>
      <c r="L626" s="251"/>
      <c r="M626" s="252"/>
      <c r="N626" s="253"/>
      <c r="O626" s="252"/>
      <c r="P626" s="254"/>
      <c r="Q626" s="418"/>
      <c r="R626" s="419"/>
      <c r="S626" s="420"/>
      <c r="T626" s="421"/>
      <c r="U626" s="420"/>
      <c r="V626" s="422"/>
      <c r="W626" s="597"/>
      <c r="X626" s="598"/>
      <c r="Y626" s="599"/>
      <c r="Z626" s="600"/>
      <c r="AA626" s="599"/>
      <c r="AB626" s="601"/>
      <c r="AC626" s="781"/>
      <c r="AD626" s="782"/>
      <c r="AE626" s="783"/>
      <c r="AF626" s="784"/>
      <c r="AG626" s="783"/>
      <c r="AH626" s="957"/>
      <c r="AI626" s="913"/>
    </row>
    <row r="627" spans="1:35" ht="26.25" x14ac:dyDescent="0.25">
      <c r="A627" s="18" t="s">
        <v>2479</v>
      </c>
      <c r="B627" s="19" t="s">
        <v>40</v>
      </c>
      <c r="C627" s="19" t="s">
        <v>2309</v>
      </c>
      <c r="D627" s="19" t="s">
        <v>2450</v>
      </c>
      <c r="E627" s="19" t="s">
        <v>1392</v>
      </c>
      <c r="F627" s="20" t="s">
        <v>2480</v>
      </c>
      <c r="G627" s="21" t="s">
        <v>2481</v>
      </c>
      <c r="H627" s="18" t="s">
        <v>2482</v>
      </c>
      <c r="I627" s="19" t="s">
        <v>383</v>
      </c>
      <c r="J627" s="210"/>
      <c r="K627" s="250" t="s">
        <v>2483</v>
      </c>
      <c r="L627" s="251" t="s">
        <v>2484</v>
      </c>
      <c r="M627" s="286">
        <f>(1051917/3000)-K627</f>
        <v>-991.36099999999999</v>
      </c>
      <c r="N627" s="287">
        <f>784/3000</f>
        <v>0.26133333333333331</v>
      </c>
      <c r="O627" s="286">
        <f>(1051917/2000)-K627</f>
        <v>-816.04150000000004</v>
      </c>
      <c r="P627" s="288">
        <f>784/2000</f>
        <v>0.39200000000000002</v>
      </c>
      <c r="Q627" s="418" t="s">
        <v>2485</v>
      </c>
      <c r="R627" s="419" t="s">
        <v>2486</v>
      </c>
      <c r="S627" s="492">
        <f>(578592/3000)-Q627</f>
        <v>-569.13599999999997</v>
      </c>
      <c r="T627" s="493">
        <f>759/3000</f>
        <v>0.253</v>
      </c>
      <c r="U627" s="492">
        <f>(578592/2000)-Q627</f>
        <v>-472.70400000000001</v>
      </c>
      <c r="V627" s="494">
        <f>759/2000</f>
        <v>0.3795</v>
      </c>
      <c r="W627" s="597" t="s">
        <v>2487</v>
      </c>
      <c r="X627" s="598" t="s">
        <v>2488</v>
      </c>
      <c r="Y627" s="647">
        <f>(189789/3000)-W627</f>
        <v>-131.73699999999999</v>
      </c>
      <c r="Z627" s="648">
        <f>973/3000</f>
        <v>0.32433333333333331</v>
      </c>
      <c r="AA627" s="647">
        <f>(189789/2000)-W627</f>
        <v>-100.10550000000001</v>
      </c>
      <c r="AB627" s="649">
        <f>973/2000</f>
        <v>0.48649999999999999</v>
      </c>
      <c r="AC627" s="781" t="s">
        <v>2489</v>
      </c>
      <c r="AD627" s="782" t="s">
        <v>2490</v>
      </c>
      <c r="AE627" s="878">
        <f>(263509/3000)-AC627</f>
        <v>-297.1636666666667</v>
      </c>
      <c r="AF627" s="879">
        <f>684/3000</f>
        <v>0.22800000000000001</v>
      </c>
      <c r="AG627" s="878">
        <f>(263509/2000)-AC627</f>
        <v>-253.24549999999999</v>
      </c>
      <c r="AH627" s="985">
        <f>684/2000</f>
        <v>0.34200000000000003</v>
      </c>
      <c r="AI627" s="913"/>
    </row>
    <row r="628" spans="1:35" ht="51.75" x14ac:dyDescent="0.25">
      <c r="A628" s="110" t="s">
        <v>2491</v>
      </c>
      <c r="B628" s="111" t="s">
        <v>40</v>
      </c>
      <c r="C628" s="111" t="s">
        <v>2309</v>
      </c>
      <c r="D628" s="111" t="s">
        <v>2450</v>
      </c>
      <c r="E628" s="111" t="s">
        <v>2492</v>
      </c>
      <c r="F628" s="112" t="s">
        <v>2493</v>
      </c>
      <c r="G628" s="113" t="s">
        <v>1262</v>
      </c>
      <c r="H628" s="110"/>
      <c r="I628" s="111"/>
      <c r="J628" s="210"/>
      <c r="K628" s="250"/>
      <c r="L628" s="251"/>
      <c r="M628" s="252"/>
      <c r="N628" s="253"/>
      <c r="O628" s="252"/>
      <c r="P628" s="254"/>
      <c r="Q628" s="418"/>
      <c r="R628" s="419"/>
      <c r="S628" s="420"/>
      <c r="T628" s="421"/>
      <c r="U628" s="420"/>
      <c r="V628" s="422"/>
      <c r="W628" s="597"/>
      <c r="X628" s="598"/>
      <c r="Y628" s="599"/>
      <c r="Z628" s="600"/>
      <c r="AA628" s="599"/>
      <c r="AB628" s="601"/>
      <c r="AC628" s="781"/>
      <c r="AD628" s="782"/>
      <c r="AE628" s="783"/>
      <c r="AF628" s="784"/>
      <c r="AG628" s="783"/>
      <c r="AH628" s="957"/>
      <c r="AI628" s="931"/>
    </row>
    <row r="629" spans="1:35" ht="26.25" x14ac:dyDescent="0.25">
      <c r="A629" s="18" t="s">
        <v>2494</v>
      </c>
      <c r="B629" s="19" t="s">
        <v>40</v>
      </c>
      <c r="C629" s="19" t="s">
        <v>2309</v>
      </c>
      <c r="D629" s="19" t="s">
        <v>2450</v>
      </c>
      <c r="E629" s="19" t="s">
        <v>1875</v>
      </c>
      <c r="F629" s="20" t="s">
        <v>2495</v>
      </c>
      <c r="G629" s="21" t="s">
        <v>2496</v>
      </c>
      <c r="H629" s="18" t="s">
        <v>1471</v>
      </c>
      <c r="I629" s="19" t="s">
        <v>260</v>
      </c>
      <c r="J629" s="210"/>
      <c r="K629" s="250" t="s">
        <v>1024</v>
      </c>
      <c r="L629" s="251" t="s">
        <v>1025</v>
      </c>
      <c r="M629" s="279">
        <f>(1051917/10000)-K629</f>
        <v>91.191699999999997</v>
      </c>
      <c r="N629" s="280">
        <f>75136/10000</f>
        <v>7.5136000000000003</v>
      </c>
      <c r="O629" s="279">
        <f>(1051917/5000)-K629</f>
        <v>196.38339999999999</v>
      </c>
      <c r="P629" s="281">
        <f>75136/5000</f>
        <v>15.027200000000001</v>
      </c>
      <c r="Q629" s="418" t="s">
        <v>152</v>
      </c>
      <c r="R629" s="419" t="s">
        <v>332</v>
      </c>
      <c r="S629" s="439">
        <f>(578592/10000)-Q629</f>
        <v>49.859200000000001</v>
      </c>
      <c r="T629" s="440">
        <f>72324/10000</f>
        <v>7.2324000000000002</v>
      </c>
      <c r="U629" s="439">
        <f>(578592/5000)-Q629</f>
        <v>107.7184</v>
      </c>
      <c r="V629" s="441">
        <f>72324/5000</f>
        <v>14.4648</v>
      </c>
      <c r="W629" s="597" t="s">
        <v>57</v>
      </c>
      <c r="X629" s="598" t="s">
        <v>148</v>
      </c>
      <c r="Y629" s="644">
        <f>(189789/10000)-W629</f>
        <v>16.978899999999999</v>
      </c>
      <c r="Z629" s="645">
        <f>94894/10000</f>
        <v>9.4893999999999998</v>
      </c>
      <c r="AA629" s="644">
        <f>(189789/5000)-W629</f>
        <v>35.957799999999999</v>
      </c>
      <c r="AB629" s="646">
        <f>94894/5000</f>
        <v>18.9788</v>
      </c>
      <c r="AC629" s="781" t="s">
        <v>68</v>
      </c>
      <c r="AD629" s="782" t="s">
        <v>2497</v>
      </c>
      <c r="AE629" s="804">
        <f>(263509/10000)-AC629</f>
        <v>22.350899999999999</v>
      </c>
      <c r="AF629" s="805">
        <f>65877/10000</f>
        <v>6.5876999999999999</v>
      </c>
      <c r="AG629" s="804">
        <f>(263509/5000)-AC629</f>
        <v>48.701799999999999</v>
      </c>
      <c r="AH629" s="964">
        <f>65877/5000</f>
        <v>13.1754</v>
      </c>
      <c r="AI629" s="913"/>
    </row>
    <row r="630" spans="1:35" ht="26.25" x14ac:dyDescent="0.25">
      <c r="A630" s="18" t="s">
        <v>2498</v>
      </c>
      <c r="B630" s="19" t="s">
        <v>40</v>
      </c>
      <c r="C630" s="19" t="s">
        <v>2309</v>
      </c>
      <c r="D630" s="19" t="s">
        <v>2450</v>
      </c>
      <c r="E630" s="19" t="s">
        <v>2376</v>
      </c>
      <c r="F630" s="20" t="s">
        <v>2499</v>
      </c>
      <c r="G630" s="21" t="s">
        <v>2500</v>
      </c>
      <c r="H630" s="18" t="s">
        <v>2501</v>
      </c>
      <c r="I630" s="19" t="s">
        <v>432</v>
      </c>
      <c r="J630" s="210"/>
      <c r="K630" s="250" t="s">
        <v>723</v>
      </c>
      <c r="L630" s="251" t="s">
        <v>724</v>
      </c>
      <c r="M630" s="279">
        <f>(1051917/20000)-K630</f>
        <v>19.595849999999999</v>
      </c>
      <c r="N630" s="280">
        <f>31876/20000</f>
        <v>1.5938000000000001</v>
      </c>
      <c r="O630" s="279">
        <f>(1051917/10000)-K630</f>
        <v>72.191699999999997</v>
      </c>
      <c r="P630" s="281">
        <f>31876/10000</f>
        <v>3.1876000000000002</v>
      </c>
      <c r="Q630" s="418" t="s">
        <v>980</v>
      </c>
      <c r="R630" s="419" t="s">
        <v>1457</v>
      </c>
      <c r="S630" s="439">
        <f>(578509/20000)-Q630</f>
        <v>1.9254500000000014</v>
      </c>
      <c r="T630" s="440">
        <f>21249/20000</f>
        <v>1.0624499999999999</v>
      </c>
      <c r="U630" s="439">
        <f>(578592/10000)-Q630</f>
        <v>30.859200000000001</v>
      </c>
      <c r="V630" s="441">
        <f>21249/10000</f>
        <v>2.1248999999999998</v>
      </c>
      <c r="W630" s="597" t="s">
        <v>149</v>
      </c>
      <c r="X630" s="598" t="s">
        <v>739</v>
      </c>
      <c r="Y630" s="644">
        <f>(189789/20000)-W630</f>
        <v>8.4894499999999997</v>
      </c>
      <c r="Z630" s="645">
        <f>189789/20000</f>
        <v>9.4894499999999997</v>
      </c>
      <c r="AA630" s="644">
        <f>(189789/10000)-W630</f>
        <v>17.978899999999999</v>
      </c>
      <c r="AB630" s="646">
        <f>189789/10000</f>
        <v>18.978899999999999</v>
      </c>
      <c r="AC630" s="781" t="s">
        <v>116</v>
      </c>
      <c r="AD630" s="782" t="s">
        <v>117</v>
      </c>
      <c r="AE630" s="804">
        <f>(263509/20000)-AC630</f>
        <v>8.1754499999999997</v>
      </c>
      <c r="AF630" s="805">
        <f>52701/20000</f>
        <v>2.6350500000000001</v>
      </c>
      <c r="AG630" s="804">
        <f>(263509/10000)-AC630</f>
        <v>21.350899999999999</v>
      </c>
      <c r="AH630" s="964">
        <f>52701/10000</f>
        <v>5.2701000000000002</v>
      </c>
      <c r="AI630" s="913"/>
    </row>
    <row r="631" spans="1:35" ht="26.25" x14ac:dyDescent="0.25">
      <c r="A631" s="18" t="s">
        <v>2502</v>
      </c>
      <c r="B631" s="19" t="s">
        <v>40</v>
      </c>
      <c r="C631" s="19" t="s">
        <v>2309</v>
      </c>
      <c r="D631" s="19" t="s">
        <v>2450</v>
      </c>
      <c r="E631" s="19" t="s">
        <v>2503</v>
      </c>
      <c r="F631" s="20"/>
      <c r="G631" s="21" t="s">
        <v>2504</v>
      </c>
      <c r="H631" s="18" t="s">
        <v>2505</v>
      </c>
      <c r="I631" s="19" t="s">
        <v>432</v>
      </c>
      <c r="J631" s="210"/>
      <c r="K631" s="250"/>
      <c r="L631" s="251"/>
      <c r="M631" s="252"/>
      <c r="N631" s="253"/>
      <c r="O631" s="252"/>
      <c r="P631" s="254"/>
      <c r="Q631" s="418"/>
      <c r="R631" s="419"/>
      <c r="S631" s="420"/>
      <c r="T631" s="421"/>
      <c r="U631" s="420"/>
      <c r="V631" s="422"/>
      <c r="W631" s="597"/>
      <c r="X631" s="598"/>
      <c r="Y631" s="599"/>
      <c r="Z631" s="600"/>
      <c r="AA631" s="599"/>
      <c r="AB631" s="601"/>
      <c r="AC631" s="781"/>
      <c r="AD631" s="782"/>
      <c r="AE631" s="783"/>
      <c r="AF631" s="784"/>
      <c r="AG631" s="783"/>
      <c r="AH631" s="957"/>
      <c r="AI631" s="913"/>
    </row>
    <row r="632" spans="1:35" ht="26.25" x14ac:dyDescent="0.25">
      <c r="A632" s="18" t="s">
        <v>2506</v>
      </c>
      <c r="B632" s="19" t="s">
        <v>40</v>
      </c>
      <c r="C632" s="19" t="s">
        <v>2309</v>
      </c>
      <c r="D632" s="19" t="s">
        <v>2450</v>
      </c>
      <c r="E632" s="19" t="s">
        <v>543</v>
      </c>
      <c r="F632" s="20"/>
      <c r="G632" s="21" t="s">
        <v>2507</v>
      </c>
      <c r="H632" s="18" t="s">
        <v>2508</v>
      </c>
      <c r="I632" s="19" t="s">
        <v>2509</v>
      </c>
      <c r="J632" s="210"/>
      <c r="K632" s="250"/>
      <c r="L632" s="251"/>
      <c r="M632" s="252"/>
      <c r="N632" s="253"/>
      <c r="O632" s="252"/>
      <c r="P632" s="254"/>
      <c r="Q632" s="418"/>
      <c r="R632" s="419"/>
      <c r="S632" s="420"/>
      <c r="T632" s="421"/>
      <c r="U632" s="420"/>
      <c r="V632" s="422"/>
      <c r="W632" s="597"/>
      <c r="X632" s="598"/>
      <c r="Y632" s="599"/>
      <c r="Z632" s="600"/>
      <c r="AA632" s="599"/>
      <c r="AB632" s="601"/>
      <c r="AC632" s="781"/>
      <c r="AD632" s="782"/>
      <c r="AE632" s="783"/>
      <c r="AF632" s="784"/>
      <c r="AG632" s="783"/>
      <c r="AH632" s="957"/>
      <c r="AI632" s="913"/>
    </row>
    <row r="633" spans="1:35" ht="51.75" x14ac:dyDescent="0.25">
      <c r="A633" s="110" t="s">
        <v>2510</v>
      </c>
      <c r="B633" s="111" t="s">
        <v>40</v>
      </c>
      <c r="C633" s="111" t="s">
        <v>2309</v>
      </c>
      <c r="D633" s="111" t="s">
        <v>2450</v>
      </c>
      <c r="E633" s="111" t="s">
        <v>1934</v>
      </c>
      <c r="F633" s="112" t="s">
        <v>2511</v>
      </c>
      <c r="G633" s="113" t="s">
        <v>1262</v>
      </c>
      <c r="H633" s="110"/>
      <c r="I633" s="111"/>
      <c r="J633" s="210"/>
      <c r="K633" s="250"/>
      <c r="L633" s="251"/>
      <c r="M633" s="252"/>
      <c r="N633" s="253"/>
      <c r="O633" s="252"/>
      <c r="P633" s="254"/>
      <c r="Q633" s="418"/>
      <c r="R633" s="419"/>
      <c r="S633" s="420"/>
      <c r="T633" s="421"/>
      <c r="U633" s="420"/>
      <c r="V633" s="422"/>
      <c r="W633" s="597"/>
      <c r="X633" s="598"/>
      <c r="Y633" s="599"/>
      <c r="Z633" s="600"/>
      <c r="AA633" s="599"/>
      <c r="AB633" s="601"/>
      <c r="AC633" s="781"/>
      <c r="AD633" s="782"/>
      <c r="AE633" s="783"/>
      <c r="AF633" s="784"/>
      <c r="AG633" s="783"/>
      <c r="AH633" s="957"/>
      <c r="AI633" s="931"/>
    </row>
    <row r="634" spans="1:35" ht="26.25" x14ac:dyDescent="0.25">
      <c r="A634" s="18" t="s">
        <v>2512</v>
      </c>
      <c r="B634" s="19" t="s">
        <v>40</v>
      </c>
      <c r="C634" s="19" t="s">
        <v>2309</v>
      </c>
      <c r="D634" s="19" t="s">
        <v>2450</v>
      </c>
      <c r="E634" s="19" t="s">
        <v>1511</v>
      </c>
      <c r="F634" s="20"/>
      <c r="G634" s="21" t="s">
        <v>2513</v>
      </c>
      <c r="H634" s="18" t="s">
        <v>2514</v>
      </c>
      <c r="I634" s="19" t="s">
        <v>1519</v>
      </c>
      <c r="J634" s="210"/>
      <c r="K634" s="250"/>
      <c r="L634" s="251"/>
      <c r="M634" s="252"/>
      <c r="N634" s="253"/>
      <c r="O634" s="252"/>
      <c r="P634" s="254"/>
      <c r="Q634" s="418"/>
      <c r="R634" s="419"/>
      <c r="S634" s="420"/>
      <c r="T634" s="421"/>
      <c r="U634" s="420"/>
      <c r="V634" s="422"/>
      <c r="W634" s="597"/>
      <c r="X634" s="598"/>
      <c r="Y634" s="599"/>
      <c r="Z634" s="600"/>
      <c r="AA634" s="599"/>
      <c r="AB634" s="601"/>
      <c r="AC634" s="781"/>
      <c r="AD634" s="782"/>
      <c r="AE634" s="783"/>
      <c r="AF634" s="784"/>
      <c r="AG634" s="783"/>
      <c r="AH634" s="957"/>
      <c r="AI634" s="913"/>
    </row>
    <row r="635" spans="1:35" ht="26.25" x14ac:dyDescent="0.25">
      <c r="A635" s="18" t="s">
        <v>2515</v>
      </c>
      <c r="B635" s="19" t="s">
        <v>40</v>
      </c>
      <c r="C635" s="19" t="s">
        <v>2309</v>
      </c>
      <c r="D635" s="19" t="s">
        <v>2450</v>
      </c>
      <c r="E635" s="19" t="s">
        <v>814</v>
      </c>
      <c r="F635" s="20" t="s">
        <v>2516</v>
      </c>
      <c r="G635" s="21" t="s">
        <v>2517</v>
      </c>
      <c r="H635" s="18" t="s">
        <v>2518</v>
      </c>
      <c r="I635" s="19" t="s">
        <v>383</v>
      </c>
      <c r="J635" s="210"/>
      <c r="K635" s="250" t="s">
        <v>2519</v>
      </c>
      <c r="L635" s="251" t="s">
        <v>2520</v>
      </c>
      <c r="M635" s="279">
        <f>(1051917/3000)-K635</f>
        <v>214.63900000000001</v>
      </c>
      <c r="N635" s="280">
        <f>7734/3000</f>
        <v>2.5779999999999998</v>
      </c>
      <c r="O635" s="279">
        <f>(1051917/2000)-K635</f>
        <v>389.95849999999996</v>
      </c>
      <c r="P635" s="281">
        <f>7734/2000</f>
        <v>3.867</v>
      </c>
      <c r="Q635" s="418" t="s">
        <v>2521</v>
      </c>
      <c r="R635" s="419" t="s">
        <v>2522</v>
      </c>
      <c r="S635" s="439">
        <f>(578592/3000)-Q635</f>
        <v>79.864000000000004</v>
      </c>
      <c r="T635" s="440">
        <f>5120/3000</f>
        <v>1.7066666666666668</v>
      </c>
      <c r="U635" s="439">
        <f>(578592/2000)-Q635</f>
        <v>176.29599999999999</v>
      </c>
      <c r="V635" s="441">
        <f>5120/2000</f>
        <v>2.56</v>
      </c>
      <c r="W635" s="597" t="s">
        <v>116</v>
      </c>
      <c r="X635" s="598" t="s">
        <v>1110</v>
      </c>
      <c r="Y635" s="644">
        <f>(189789/3000)-W635</f>
        <v>58.262999999999998</v>
      </c>
      <c r="Z635" s="645">
        <f>37957/3000</f>
        <v>12.652333333333333</v>
      </c>
      <c r="AA635" s="644">
        <f>(189789/2000)-W635</f>
        <v>89.894499999999994</v>
      </c>
      <c r="AB635" s="646">
        <f>37957/2000</f>
        <v>18.9785</v>
      </c>
      <c r="AC635" s="781" t="s">
        <v>64</v>
      </c>
      <c r="AD635" s="782" t="s">
        <v>1304</v>
      </c>
      <c r="AE635" s="804">
        <f>(263509/3000)-AC635</f>
        <v>69.836333333333329</v>
      </c>
      <c r="AF635" s="805">
        <f>14639/3000</f>
        <v>4.879666666666667</v>
      </c>
      <c r="AG635" s="804">
        <f>(263509/2000)-AC635</f>
        <v>113.75450000000001</v>
      </c>
      <c r="AH635" s="964">
        <f>14639/2000</f>
        <v>7.3194999999999997</v>
      </c>
      <c r="AI635" s="913"/>
    </row>
    <row r="636" spans="1:35" ht="26.25" x14ac:dyDescent="0.25">
      <c r="A636" s="18" t="s">
        <v>2523</v>
      </c>
      <c r="B636" s="19" t="s">
        <v>40</v>
      </c>
      <c r="C636" s="19" t="s">
        <v>2309</v>
      </c>
      <c r="D636" s="19" t="s">
        <v>2450</v>
      </c>
      <c r="E636" s="19" t="s">
        <v>2524</v>
      </c>
      <c r="F636" s="20"/>
      <c r="G636" s="21" t="s">
        <v>2525</v>
      </c>
      <c r="H636" s="18" t="s">
        <v>2526</v>
      </c>
      <c r="I636" s="19" t="s">
        <v>89</v>
      </c>
      <c r="J636" s="210"/>
      <c r="K636" s="250"/>
      <c r="L636" s="251"/>
      <c r="M636" s="252"/>
      <c r="N636" s="253"/>
      <c r="O636" s="252"/>
      <c r="P636" s="254"/>
      <c r="Q636" s="418"/>
      <c r="R636" s="419"/>
      <c r="S636" s="420"/>
      <c r="T636" s="421"/>
      <c r="U636" s="420"/>
      <c r="V636" s="422"/>
      <c r="W636" s="597"/>
      <c r="X636" s="598"/>
      <c r="Y636" s="599"/>
      <c r="Z636" s="600"/>
      <c r="AA636" s="599"/>
      <c r="AB636" s="601"/>
      <c r="AC636" s="781"/>
      <c r="AD636" s="782"/>
      <c r="AE636" s="783"/>
      <c r="AF636" s="784"/>
      <c r="AG636" s="783"/>
      <c r="AH636" s="957"/>
      <c r="AI636" s="913"/>
    </row>
    <row r="637" spans="1:35" ht="26.25" x14ac:dyDescent="0.25">
      <c r="A637" s="18" t="s">
        <v>2527</v>
      </c>
      <c r="B637" s="19" t="s">
        <v>40</v>
      </c>
      <c r="C637" s="19" t="s">
        <v>2309</v>
      </c>
      <c r="D637" s="19" t="s">
        <v>2450</v>
      </c>
      <c r="E637" s="19" t="s">
        <v>1959</v>
      </c>
      <c r="F637" s="20" t="s">
        <v>2528</v>
      </c>
      <c r="G637" s="21" t="s">
        <v>2529</v>
      </c>
      <c r="H637" s="18" t="s">
        <v>2530</v>
      </c>
      <c r="I637" s="19" t="s">
        <v>260</v>
      </c>
      <c r="J637" s="210"/>
      <c r="K637" s="250" t="s">
        <v>149</v>
      </c>
      <c r="L637" s="251" t="s">
        <v>344</v>
      </c>
      <c r="M637" s="279">
        <f>(1051917/10000)-K637</f>
        <v>104.1917</v>
      </c>
      <c r="N637" s="280">
        <f>1051917/10000</f>
        <v>105.1917</v>
      </c>
      <c r="O637" s="279">
        <f>(1051917/5000)-K637</f>
        <v>209.38339999999999</v>
      </c>
      <c r="P637" s="281">
        <f>1051917/5000</f>
        <v>210.38339999999999</v>
      </c>
      <c r="Q637" s="418" t="s">
        <v>149</v>
      </c>
      <c r="R637" s="419" t="s">
        <v>627</v>
      </c>
      <c r="S637" s="439">
        <f>(578592/10000)-Q637</f>
        <v>56.859200000000001</v>
      </c>
      <c r="T637" s="440">
        <f>578592/10000</f>
        <v>57.859200000000001</v>
      </c>
      <c r="U637" s="439">
        <f>(578592/5000)-Q637</f>
        <v>114.7184</v>
      </c>
      <c r="V637" s="441">
        <f>578592/5000</f>
        <v>115.7184</v>
      </c>
      <c r="W637" s="617" t="s">
        <v>60</v>
      </c>
      <c r="X637" s="598" t="s">
        <v>61</v>
      </c>
      <c r="Y637" s="644">
        <f>(189789/10000)-W637</f>
        <v>18.978899999999999</v>
      </c>
      <c r="Z637" s="645" t="s">
        <v>61</v>
      </c>
      <c r="AA637" s="644">
        <f>(189789/5000)-W637</f>
        <v>37.957799999999999</v>
      </c>
      <c r="AB637" s="646" t="s">
        <v>61</v>
      </c>
      <c r="AC637" s="796" t="s">
        <v>60</v>
      </c>
      <c r="AD637" s="782" t="s">
        <v>61</v>
      </c>
      <c r="AE637" s="804">
        <f>(263509/10000)-AC637</f>
        <v>26.350899999999999</v>
      </c>
      <c r="AF637" s="805" t="s">
        <v>61</v>
      </c>
      <c r="AG637" s="804">
        <f>(263509/5000)-AC637</f>
        <v>52.701799999999999</v>
      </c>
      <c r="AH637" s="964" t="s">
        <v>61</v>
      </c>
      <c r="AI637" s="913"/>
    </row>
    <row r="638" spans="1:35" ht="26.25" x14ac:dyDescent="0.25">
      <c r="A638" s="18" t="s">
        <v>2531</v>
      </c>
      <c r="B638" s="19" t="s">
        <v>40</v>
      </c>
      <c r="C638" s="19" t="s">
        <v>2309</v>
      </c>
      <c r="D638" s="19" t="s">
        <v>2450</v>
      </c>
      <c r="E638" s="19" t="s">
        <v>2532</v>
      </c>
      <c r="F638" s="20"/>
      <c r="G638" s="21" t="s">
        <v>2533</v>
      </c>
      <c r="H638" s="18" t="s">
        <v>2534</v>
      </c>
      <c r="I638" s="19" t="s">
        <v>383</v>
      </c>
      <c r="J638" s="210"/>
      <c r="K638" s="250"/>
      <c r="L638" s="251"/>
      <c r="M638" s="252"/>
      <c r="N638" s="253"/>
      <c r="O638" s="252"/>
      <c r="P638" s="254"/>
      <c r="Q638" s="418"/>
      <c r="R638" s="419"/>
      <c r="S638" s="420"/>
      <c r="T638" s="421"/>
      <c r="U638" s="420"/>
      <c r="V638" s="422"/>
      <c r="W638" s="597"/>
      <c r="X638" s="598"/>
      <c r="Y638" s="599"/>
      <c r="Z638" s="600"/>
      <c r="AA638" s="599"/>
      <c r="AB638" s="601"/>
      <c r="AC638" s="781"/>
      <c r="AD638" s="782"/>
      <c r="AE638" s="783"/>
      <c r="AF638" s="784"/>
      <c r="AG638" s="783"/>
      <c r="AH638" s="957"/>
      <c r="AI638" s="913"/>
    </row>
    <row r="639" spans="1:35" ht="39" x14ac:dyDescent="0.25">
      <c r="A639" s="18" t="s">
        <v>2535</v>
      </c>
      <c r="B639" s="19" t="s">
        <v>40</v>
      </c>
      <c r="C639" s="19" t="s">
        <v>2309</v>
      </c>
      <c r="D639" s="19" t="s">
        <v>2450</v>
      </c>
      <c r="E639" s="19" t="s">
        <v>1965</v>
      </c>
      <c r="F639" s="20" t="s">
        <v>2536</v>
      </c>
      <c r="G639" s="21" t="s">
        <v>2537</v>
      </c>
      <c r="H639" s="18" t="s">
        <v>2501</v>
      </c>
      <c r="I639" s="19" t="s">
        <v>432</v>
      </c>
      <c r="J639" s="210"/>
      <c r="K639" s="250" t="s">
        <v>2538</v>
      </c>
      <c r="L639" s="251" t="s">
        <v>2539</v>
      </c>
      <c r="M639" s="286">
        <f>(1051917/20000)-K639</f>
        <v>-315.40415000000002</v>
      </c>
      <c r="N639" s="287">
        <f>2858/20000</f>
        <v>0.1429</v>
      </c>
      <c r="O639" s="286">
        <f>(1051917/10000)-K639</f>
        <v>-262.80830000000003</v>
      </c>
      <c r="P639" s="288">
        <f>2858/10000</f>
        <v>0.2858</v>
      </c>
      <c r="Q639" s="418" t="s">
        <v>2540</v>
      </c>
      <c r="R639" s="419" t="s">
        <v>2541</v>
      </c>
      <c r="S639" s="492">
        <f>(578509/20000)-Q639</f>
        <v>-203.07454999999999</v>
      </c>
      <c r="T639" s="493">
        <f>2493/20000</f>
        <v>0.12465</v>
      </c>
      <c r="U639" s="492">
        <f>(578592/10000)-Q639</f>
        <v>-174.14080000000001</v>
      </c>
      <c r="V639" s="494">
        <f>2493/10000</f>
        <v>0.24929999999999999</v>
      </c>
      <c r="W639" s="597" t="s">
        <v>2542</v>
      </c>
      <c r="X639" s="598" t="s">
        <v>2543</v>
      </c>
      <c r="Y639" s="647">
        <f>(189789/20000)-W639</f>
        <v>-70.510549999999995</v>
      </c>
      <c r="Z639" s="648">
        <f>2372/20000</f>
        <v>0.1186</v>
      </c>
      <c r="AA639" s="647">
        <f>(189789/10000)-W639</f>
        <v>-61.021100000000004</v>
      </c>
      <c r="AB639" s="649">
        <f>2372/10000</f>
        <v>0.23719999999999999</v>
      </c>
      <c r="AC639" s="781" t="s">
        <v>963</v>
      </c>
      <c r="AD639" s="782" t="s">
        <v>1123</v>
      </c>
      <c r="AE639" s="878">
        <f>(263509/20000)-AC639</f>
        <v>-42.824550000000002</v>
      </c>
      <c r="AF639" s="879">
        <f>4705/20000</f>
        <v>0.23524999999999999</v>
      </c>
      <c r="AG639" s="878">
        <f>(263509/10000)-AC639</f>
        <v>-29.649100000000001</v>
      </c>
      <c r="AH639" s="985">
        <f>4705/10000</f>
        <v>0.47049999999999997</v>
      </c>
      <c r="AI639" s="913"/>
    </row>
    <row r="640" spans="1:35" ht="26.25" x14ac:dyDescent="0.25">
      <c r="A640" s="18" t="s">
        <v>2544</v>
      </c>
      <c r="B640" s="19" t="s">
        <v>40</v>
      </c>
      <c r="C640" s="19" t="s">
        <v>2309</v>
      </c>
      <c r="D640" s="19" t="s">
        <v>2450</v>
      </c>
      <c r="E640" s="19" t="s">
        <v>1321</v>
      </c>
      <c r="F640" s="20"/>
      <c r="G640" s="21" t="s">
        <v>2545</v>
      </c>
      <c r="H640" s="18" t="s">
        <v>2546</v>
      </c>
      <c r="I640" s="19" t="s">
        <v>1278</v>
      </c>
      <c r="J640" s="210"/>
      <c r="K640" s="250"/>
      <c r="L640" s="251"/>
      <c r="M640" s="252"/>
      <c r="N640" s="253"/>
      <c r="O640" s="252"/>
      <c r="P640" s="254"/>
      <c r="Q640" s="418"/>
      <c r="R640" s="419"/>
      <c r="S640" s="420"/>
      <c r="T640" s="421"/>
      <c r="U640" s="420"/>
      <c r="V640" s="422"/>
      <c r="W640" s="597"/>
      <c r="X640" s="598"/>
      <c r="Y640" s="599"/>
      <c r="Z640" s="600"/>
      <c r="AA640" s="599"/>
      <c r="AB640" s="601"/>
      <c r="AC640" s="781"/>
      <c r="AD640" s="782"/>
      <c r="AE640" s="783"/>
      <c r="AF640" s="784"/>
      <c r="AG640" s="783"/>
      <c r="AH640" s="957"/>
      <c r="AI640" s="913"/>
    </row>
    <row r="641" spans="1:35" ht="51.75" x14ac:dyDescent="0.25">
      <c r="A641" s="18" t="s">
        <v>2547</v>
      </c>
      <c r="B641" s="19" t="s">
        <v>40</v>
      </c>
      <c r="C641" s="19" t="s">
        <v>2309</v>
      </c>
      <c r="D641" s="19" t="s">
        <v>2450</v>
      </c>
      <c r="E641" s="19" t="s">
        <v>2430</v>
      </c>
      <c r="F641" s="20" t="s">
        <v>2548</v>
      </c>
      <c r="G641" s="21" t="s">
        <v>2549</v>
      </c>
      <c r="H641" s="18" t="s">
        <v>2550</v>
      </c>
      <c r="I641" s="19" t="s">
        <v>383</v>
      </c>
      <c r="J641" s="210"/>
      <c r="K641" s="250" t="s">
        <v>2551</v>
      </c>
      <c r="L641" s="251" t="s">
        <v>2552</v>
      </c>
      <c r="M641" s="279">
        <f>(1051917/3000)-K641</f>
        <v>287.63900000000001</v>
      </c>
      <c r="N641" s="280">
        <f>16697/3000</f>
        <v>5.565666666666667</v>
      </c>
      <c r="O641" s="279">
        <f>(1051917/2000)-K641</f>
        <v>462.95849999999996</v>
      </c>
      <c r="P641" s="281">
        <f>16697/2000</f>
        <v>8.3484999999999996</v>
      </c>
      <c r="Q641" s="418" t="s">
        <v>133</v>
      </c>
      <c r="R641" s="419" t="s">
        <v>2553</v>
      </c>
      <c r="S641" s="439">
        <f>(578592/3000)-Q641</f>
        <v>148.864</v>
      </c>
      <c r="T641" s="440">
        <f>13149/3000</f>
        <v>4.383</v>
      </c>
      <c r="U641" s="439">
        <f>(578592/2000)-Q641</f>
        <v>245.29599999999999</v>
      </c>
      <c r="V641" s="441">
        <f>13149/2000</f>
        <v>6.5744999999999996</v>
      </c>
      <c r="W641" s="597" t="s">
        <v>66</v>
      </c>
      <c r="X641" s="598" t="s">
        <v>233</v>
      </c>
      <c r="Y641" s="644">
        <f>(189789/3000)-W641</f>
        <v>52.262999999999998</v>
      </c>
      <c r="Z641" s="645">
        <f>17253/3000</f>
        <v>5.7510000000000003</v>
      </c>
      <c r="AA641" s="644">
        <f>(189789/2000)-W641</f>
        <v>83.894499999999994</v>
      </c>
      <c r="AB641" s="646">
        <f>17253/2000</f>
        <v>8.6265000000000001</v>
      </c>
      <c r="AC641" s="781" t="s">
        <v>152</v>
      </c>
      <c r="AD641" s="782" t="s">
        <v>190</v>
      </c>
      <c r="AE641" s="804">
        <f>(263509/3000)-AC641</f>
        <v>79.836333333333329</v>
      </c>
      <c r="AF641" s="805">
        <f>32938/3000</f>
        <v>10.979333333333333</v>
      </c>
      <c r="AG641" s="804">
        <f>(263509/2000)-AC641</f>
        <v>123.75450000000001</v>
      </c>
      <c r="AH641" s="964">
        <f>32928/2000</f>
        <v>16.463999999999999</v>
      </c>
      <c r="AI641" s="913"/>
    </row>
    <row r="642" spans="1:35" ht="90" x14ac:dyDescent="0.25">
      <c r="A642" s="27" t="s">
        <v>2554</v>
      </c>
      <c r="B642" s="28" t="s">
        <v>40</v>
      </c>
      <c r="C642" s="28" t="s">
        <v>2309</v>
      </c>
      <c r="D642" s="28" t="s">
        <v>2450</v>
      </c>
      <c r="E642" s="28"/>
      <c r="F642" s="29" t="s">
        <v>2434</v>
      </c>
      <c r="G642" s="30" t="s">
        <v>2450</v>
      </c>
      <c r="H642" s="27" t="s">
        <v>2555</v>
      </c>
      <c r="I642" s="28" t="s">
        <v>383</v>
      </c>
      <c r="J642" s="211"/>
      <c r="K642" s="261">
        <f>SUM(K622+K623+K624+K627+K629+K630+K635+K637+K639+K641)</f>
        <v>2358</v>
      </c>
      <c r="L642" s="262" t="s">
        <v>2556</v>
      </c>
      <c r="M642" s="263">
        <f>(1051917/3000)-K642</f>
        <v>-2007.3609999999999</v>
      </c>
      <c r="N642" s="264">
        <f>446/3000</f>
        <v>0.14866666666666667</v>
      </c>
      <c r="O642" s="263">
        <f>(1051917/2000)-K642</f>
        <v>-1832.0415</v>
      </c>
      <c r="P642" s="265">
        <f>446/2000</f>
        <v>0.223</v>
      </c>
      <c r="Q642" s="431">
        <f>SUM(Q622+Q623+Q624+Q627+Q629+Q630+Q635+Q637+Q639+Q641)</f>
        <v>1447</v>
      </c>
      <c r="R642" s="432" t="s">
        <v>2557</v>
      </c>
      <c r="S642" s="433">
        <f>(578592/3000)-Q642</f>
        <v>-1254.136</v>
      </c>
      <c r="T642" s="434">
        <f>400/3000</f>
        <v>0.13333333333333333</v>
      </c>
      <c r="U642" s="433">
        <f>(578592/2000)-Q642</f>
        <v>-1157.704</v>
      </c>
      <c r="V642" s="435">
        <f>400/2000</f>
        <v>0.2</v>
      </c>
      <c r="W642" s="611">
        <f>SUM(W622+W623+W624+W627+W629+W630+W635+W637+W639+W641)</f>
        <v>349</v>
      </c>
      <c r="X642" s="612" t="s">
        <v>2558</v>
      </c>
      <c r="Y642" s="613">
        <f>(189789/3000)-W642</f>
        <v>-285.73700000000002</v>
      </c>
      <c r="Z642" s="614">
        <f>544/3000</f>
        <v>0.18133333333333335</v>
      </c>
      <c r="AA642" s="613">
        <f>(189789/2000)-W642</f>
        <v>-254.10550000000001</v>
      </c>
      <c r="AB642" s="615">
        <f>544/2000</f>
        <v>0.27200000000000002</v>
      </c>
      <c r="AC642" s="892">
        <f>SUM(AC622+AC623+AC624+AC627+AC629+AC630+AC635+AC637+AC639+AC641)</f>
        <v>562</v>
      </c>
      <c r="AD642" s="793" t="s">
        <v>2559</v>
      </c>
      <c r="AE642" s="794">
        <f>(263509/3000)-AC642</f>
        <v>-474.1636666666667</v>
      </c>
      <c r="AF642" s="795">
        <f>469/3000</f>
        <v>0.15633333333333332</v>
      </c>
      <c r="AG642" s="794">
        <f>(263509/2000)-AC642</f>
        <v>-430.24549999999999</v>
      </c>
      <c r="AH642" s="959">
        <f>469/2000</f>
        <v>0.23449999999999999</v>
      </c>
      <c r="AI642" s="915" t="s">
        <v>2560</v>
      </c>
    </row>
    <row r="643" spans="1:35" ht="51.75" x14ac:dyDescent="0.25">
      <c r="A643" s="118" t="s">
        <v>2561</v>
      </c>
      <c r="B643" s="119" t="s">
        <v>40</v>
      </c>
      <c r="C643" s="119" t="s">
        <v>2309</v>
      </c>
      <c r="D643" s="119" t="s">
        <v>2562</v>
      </c>
      <c r="E643" s="119"/>
      <c r="F643" s="112" t="s">
        <v>2563</v>
      </c>
      <c r="G643" s="113" t="s">
        <v>1262</v>
      </c>
      <c r="H643" s="118"/>
      <c r="I643" s="119"/>
      <c r="J643" s="214"/>
      <c r="K643" s="289"/>
      <c r="L643" s="290"/>
      <c r="M643" s="258"/>
      <c r="N643" s="259"/>
      <c r="O643" s="258"/>
      <c r="P643" s="260"/>
      <c r="Q643" s="423"/>
      <c r="R643" s="424"/>
      <c r="S643" s="428"/>
      <c r="T643" s="429"/>
      <c r="U643" s="428"/>
      <c r="V643" s="430"/>
      <c r="W643" s="607"/>
      <c r="X643" s="603"/>
      <c r="Y643" s="608"/>
      <c r="Z643" s="609"/>
      <c r="AA643" s="608"/>
      <c r="AB643" s="610"/>
      <c r="AC643" s="789"/>
      <c r="AD643" s="786"/>
      <c r="AE643" s="790"/>
      <c r="AF643" s="791"/>
      <c r="AG643" s="790"/>
      <c r="AH643" s="958"/>
      <c r="AI643" s="932"/>
    </row>
    <row r="644" spans="1:35" ht="51.75" x14ac:dyDescent="0.25">
      <c r="A644" s="118" t="s">
        <v>2564</v>
      </c>
      <c r="B644" s="119" t="s">
        <v>40</v>
      </c>
      <c r="C644" s="119" t="s">
        <v>2309</v>
      </c>
      <c r="D644" s="119" t="s">
        <v>2562</v>
      </c>
      <c r="E644" s="119"/>
      <c r="F644" s="112" t="s">
        <v>2565</v>
      </c>
      <c r="G644" s="113" t="s">
        <v>1262</v>
      </c>
      <c r="H644" s="118"/>
      <c r="I644" s="119"/>
      <c r="J644" s="214"/>
      <c r="K644" s="289"/>
      <c r="L644" s="290"/>
      <c r="M644" s="258"/>
      <c r="N644" s="259"/>
      <c r="O644" s="258"/>
      <c r="P644" s="260"/>
      <c r="Q644" s="423"/>
      <c r="R644" s="424"/>
      <c r="S644" s="428"/>
      <c r="T644" s="429"/>
      <c r="U644" s="428"/>
      <c r="V644" s="430"/>
      <c r="W644" s="607"/>
      <c r="X644" s="603"/>
      <c r="Y644" s="608"/>
      <c r="Z644" s="609"/>
      <c r="AA644" s="608"/>
      <c r="AB644" s="610"/>
      <c r="AC644" s="789"/>
      <c r="AD644" s="786"/>
      <c r="AE644" s="790"/>
      <c r="AF644" s="791"/>
      <c r="AG644" s="790"/>
      <c r="AH644" s="958"/>
      <c r="AI644" s="932"/>
    </row>
    <row r="645" spans="1:35" ht="64.5" x14ac:dyDescent="0.25">
      <c r="A645" s="118" t="s">
        <v>2566</v>
      </c>
      <c r="B645" s="119" t="s">
        <v>40</v>
      </c>
      <c r="C645" s="119" t="s">
        <v>2309</v>
      </c>
      <c r="D645" s="119" t="s">
        <v>2567</v>
      </c>
      <c r="E645" s="119"/>
      <c r="F645" s="112" t="s">
        <v>2568</v>
      </c>
      <c r="G645" s="113" t="s">
        <v>1262</v>
      </c>
      <c r="H645" s="118"/>
      <c r="I645" s="119"/>
      <c r="J645" s="214"/>
      <c r="K645" s="289"/>
      <c r="L645" s="290"/>
      <c r="M645" s="258"/>
      <c r="N645" s="259"/>
      <c r="O645" s="258"/>
      <c r="P645" s="260"/>
      <c r="Q645" s="423"/>
      <c r="R645" s="424"/>
      <c r="S645" s="428"/>
      <c r="T645" s="429"/>
      <c r="U645" s="428"/>
      <c r="V645" s="430"/>
      <c r="W645" s="607"/>
      <c r="X645" s="603"/>
      <c r="Y645" s="608"/>
      <c r="Z645" s="609"/>
      <c r="AA645" s="608"/>
      <c r="AB645" s="610"/>
      <c r="AC645" s="789"/>
      <c r="AD645" s="786"/>
      <c r="AE645" s="790"/>
      <c r="AF645" s="791"/>
      <c r="AG645" s="790"/>
      <c r="AH645" s="958"/>
      <c r="AI645" s="932"/>
    </row>
    <row r="646" spans="1:35" ht="26.25" x14ac:dyDescent="0.25">
      <c r="A646" s="18" t="s">
        <v>2569</v>
      </c>
      <c r="B646" s="19" t="s">
        <v>40</v>
      </c>
      <c r="C646" s="19" t="s">
        <v>2309</v>
      </c>
      <c r="D646" s="19" t="s">
        <v>2570</v>
      </c>
      <c r="E646" s="19" t="s">
        <v>2571</v>
      </c>
      <c r="F646" s="20"/>
      <c r="G646" s="21" t="s">
        <v>2572</v>
      </c>
      <c r="H646" s="18" t="s">
        <v>2573</v>
      </c>
      <c r="I646" s="19" t="s">
        <v>383</v>
      </c>
      <c r="J646" s="210"/>
      <c r="K646" s="250"/>
      <c r="L646" s="251"/>
      <c r="M646" s="252"/>
      <c r="N646" s="253"/>
      <c r="O646" s="252"/>
      <c r="P646" s="254"/>
      <c r="Q646" s="418"/>
      <c r="R646" s="419"/>
      <c r="S646" s="420"/>
      <c r="T646" s="421"/>
      <c r="U646" s="420"/>
      <c r="V646" s="422"/>
      <c r="W646" s="597"/>
      <c r="X646" s="598"/>
      <c r="Y646" s="599"/>
      <c r="Z646" s="600"/>
      <c r="AA646" s="599"/>
      <c r="AB646" s="601"/>
      <c r="AC646" s="781"/>
      <c r="AD646" s="782"/>
      <c r="AE646" s="783"/>
      <c r="AF646" s="784"/>
      <c r="AG646" s="783"/>
      <c r="AH646" s="957"/>
      <c r="AI646" s="913"/>
    </row>
    <row r="647" spans="1:35" ht="26.25" x14ac:dyDescent="0.25">
      <c r="A647" s="18" t="s">
        <v>2574</v>
      </c>
      <c r="B647" s="19" t="s">
        <v>40</v>
      </c>
      <c r="C647" s="19" t="s">
        <v>2309</v>
      </c>
      <c r="D647" s="19" t="s">
        <v>2570</v>
      </c>
      <c r="E647" s="19" t="s">
        <v>2575</v>
      </c>
      <c r="F647" s="20"/>
      <c r="G647" s="21" t="s">
        <v>2576</v>
      </c>
      <c r="H647" s="18" t="s">
        <v>2577</v>
      </c>
      <c r="I647" s="19" t="s">
        <v>276</v>
      </c>
      <c r="J647" s="210"/>
      <c r="K647" s="250"/>
      <c r="L647" s="251"/>
      <c r="M647" s="252"/>
      <c r="N647" s="253"/>
      <c r="O647" s="252"/>
      <c r="P647" s="254"/>
      <c r="Q647" s="418"/>
      <c r="R647" s="419"/>
      <c r="S647" s="420"/>
      <c r="T647" s="421"/>
      <c r="U647" s="420"/>
      <c r="V647" s="422"/>
      <c r="W647" s="597"/>
      <c r="X647" s="598"/>
      <c r="Y647" s="599"/>
      <c r="Z647" s="600"/>
      <c r="AA647" s="599"/>
      <c r="AB647" s="601"/>
      <c r="AC647" s="781"/>
      <c r="AD647" s="782"/>
      <c r="AE647" s="783"/>
      <c r="AF647" s="784"/>
      <c r="AG647" s="783"/>
      <c r="AH647" s="957"/>
      <c r="AI647" s="913"/>
    </row>
    <row r="648" spans="1:35" ht="45" x14ac:dyDescent="0.25">
      <c r="A648" s="86" t="s">
        <v>2578</v>
      </c>
      <c r="B648" s="87" t="s">
        <v>40</v>
      </c>
      <c r="C648" s="87" t="s">
        <v>2309</v>
      </c>
      <c r="D648" s="87" t="s">
        <v>2570</v>
      </c>
      <c r="E648" s="87"/>
      <c r="F648" s="88" t="s">
        <v>2570</v>
      </c>
      <c r="G648" s="89" t="s">
        <v>2570</v>
      </c>
      <c r="H648" s="86" t="s">
        <v>2579</v>
      </c>
      <c r="I648" s="87" t="s">
        <v>265</v>
      </c>
      <c r="J648" s="215"/>
      <c r="K648" s="298">
        <v>935</v>
      </c>
      <c r="L648" s="299" t="s">
        <v>2580</v>
      </c>
      <c r="M648" s="325">
        <f>(1051917/2000)-K648</f>
        <v>-409.04150000000004</v>
      </c>
      <c r="N648" s="326">
        <f>1125/2000</f>
        <v>0.5625</v>
      </c>
      <c r="O648" s="325">
        <f>(1051917/1500)-K648</f>
        <v>-233.72199999999998</v>
      </c>
      <c r="P648" s="327">
        <f>1125/1500</f>
        <v>0.75</v>
      </c>
      <c r="Q648" s="470">
        <v>653</v>
      </c>
      <c r="R648" s="471" t="s">
        <v>2581</v>
      </c>
      <c r="S648" s="500">
        <f>(578592/2000)-Q648</f>
        <v>-363.70400000000001</v>
      </c>
      <c r="T648" s="501">
        <f>886/2000</f>
        <v>0.443</v>
      </c>
      <c r="U648" s="500">
        <f>(578509/1500)-Q648</f>
        <v>-267.32733333333334</v>
      </c>
      <c r="V648" s="502">
        <f>886/1500</f>
        <v>0.59066666666666667</v>
      </c>
      <c r="W648" s="657">
        <v>116</v>
      </c>
      <c r="X648" s="658" t="s">
        <v>2582</v>
      </c>
      <c r="Y648" s="744">
        <f>(189789/2000)-W648</f>
        <v>-21.105500000000006</v>
      </c>
      <c r="Z648" s="745">
        <f>1636/2000</f>
        <v>0.81799999999999995</v>
      </c>
      <c r="AA648" s="744">
        <f>(189789/1500)-W648</f>
        <v>10.525999999999996</v>
      </c>
      <c r="AB648" s="746">
        <f>1636/1500</f>
        <v>1.0906666666666667</v>
      </c>
      <c r="AC648" s="824">
        <v>166</v>
      </c>
      <c r="AD648" s="825" t="s">
        <v>2583</v>
      </c>
      <c r="AE648" s="893">
        <f>(263509/2000)-AC648</f>
        <v>-34.245499999999993</v>
      </c>
      <c r="AF648" s="894">
        <f>1587/2000</f>
        <v>0.79349999999999998</v>
      </c>
      <c r="AG648" s="893">
        <f>(263509/1500)-AC648</f>
        <v>9.6726666666666574</v>
      </c>
      <c r="AH648" s="989">
        <f>1587/1500</f>
        <v>1.0580000000000001</v>
      </c>
      <c r="AI648" s="926"/>
    </row>
    <row r="649" spans="1:35" ht="52.5" thickBot="1" x14ac:dyDescent="0.3">
      <c r="A649" s="96" t="s">
        <v>2578</v>
      </c>
      <c r="B649" s="97" t="s">
        <v>40</v>
      </c>
      <c r="C649" s="97" t="s">
        <v>2309</v>
      </c>
      <c r="D649" s="97" t="s">
        <v>2584</v>
      </c>
      <c r="E649" s="97"/>
      <c r="F649" s="98" t="s">
        <v>2584</v>
      </c>
      <c r="G649" s="99" t="s">
        <v>1262</v>
      </c>
      <c r="H649" s="96"/>
      <c r="I649" s="97"/>
      <c r="J649" s="217"/>
      <c r="K649" s="308"/>
      <c r="L649" s="309"/>
      <c r="M649" s="310"/>
      <c r="N649" s="311"/>
      <c r="O649" s="310"/>
      <c r="P649" s="312"/>
      <c r="Q649" s="480"/>
      <c r="R649" s="481"/>
      <c r="S649" s="482"/>
      <c r="T649" s="483"/>
      <c r="U649" s="482"/>
      <c r="V649" s="484"/>
      <c r="W649" s="667"/>
      <c r="X649" s="668"/>
      <c r="Y649" s="669"/>
      <c r="Z649" s="670"/>
      <c r="AA649" s="669"/>
      <c r="AB649" s="671"/>
      <c r="AC649" s="832"/>
      <c r="AD649" s="833"/>
      <c r="AE649" s="834"/>
      <c r="AF649" s="835"/>
      <c r="AG649" s="834"/>
      <c r="AH649" s="973"/>
      <c r="AI649" s="928"/>
    </row>
    <row r="650" spans="1:35" ht="64.5" x14ac:dyDescent="0.25">
      <c r="A650" s="145" t="s">
        <v>2585</v>
      </c>
      <c r="B650" s="146" t="s">
        <v>40</v>
      </c>
      <c r="C650" s="146" t="s">
        <v>2586</v>
      </c>
      <c r="D650" s="146" t="s">
        <v>2587</v>
      </c>
      <c r="E650" s="146"/>
      <c r="F650" s="147" t="s">
        <v>1291</v>
      </c>
      <c r="G650" s="148" t="s">
        <v>2588</v>
      </c>
      <c r="H650" s="145" t="s">
        <v>2589</v>
      </c>
      <c r="I650" s="146" t="s">
        <v>1272</v>
      </c>
      <c r="J650" s="209"/>
      <c r="K650" s="245"/>
      <c r="L650" s="246"/>
      <c r="M650" s="247"/>
      <c r="N650" s="248"/>
      <c r="O650" s="247"/>
      <c r="P650" s="249"/>
      <c r="Q650" s="413"/>
      <c r="R650" s="414"/>
      <c r="S650" s="415"/>
      <c r="T650" s="416"/>
      <c r="U650" s="415"/>
      <c r="V650" s="417"/>
      <c r="W650" s="592"/>
      <c r="X650" s="593"/>
      <c r="Y650" s="594"/>
      <c r="Z650" s="595"/>
      <c r="AA650" s="594"/>
      <c r="AB650" s="596"/>
      <c r="AC650" s="777"/>
      <c r="AD650" s="778"/>
      <c r="AE650" s="779"/>
      <c r="AF650" s="780"/>
      <c r="AG650" s="779"/>
      <c r="AH650" s="956"/>
      <c r="AI650" s="937" t="s">
        <v>2590</v>
      </c>
    </row>
    <row r="651" spans="1:35" ht="51.75" x14ac:dyDescent="0.25">
      <c r="A651" s="169" t="s">
        <v>2591</v>
      </c>
      <c r="B651" s="170" t="s">
        <v>40</v>
      </c>
      <c r="C651" s="170" t="s">
        <v>2586</v>
      </c>
      <c r="D651" s="170" t="s">
        <v>2592</v>
      </c>
      <c r="E651" s="170"/>
      <c r="F651" s="171" t="s">
        <v>2593</v>
      </c>
      <c r="G651" s="184" t="s">
        <v>1262</v>
      </c>
      <c r="H651" s="169"/>
      <c r="I651" s="170"/>
      <c r="J651" s="218"/>
      <c r="K651" s="313"/>
      <c r="L651" s="314"/>
      <c r="M651" s="315"/>
      <c r="N651" s="316"/>
      <c r="O651" s="315"/>
      <c r="P651" s="317"/>
      <c r="Q651" s="485"/>
      <c r="R651" s="486"/>
      <c r="S651" s="487"/>
      <c r="T651" s="488"/>
      <c r="U651" s="487"/>
      <c r="V651" s="489"/>
      <c r="W651" s="672"/>
      <c r="X651" s="673"/>
      <c r="Y651" s="674"/>
      <c r="Z651" s="675"/>
      <c r="AA651" s="674"/>
      <c r="AB651" s="676"/>
      <c r="AC651" s="836"/>
      <c r="AD651" s="837"/>
      <c r="AE651" s="838"/>
      <c r="AF651" s="839"/>
      <c r="AG651" s="838"/>
      <c r="AH651" s="974"/>
      <c r="AI651" s="943"/>
    </row>
    <row r="652" spans="1:35" ht="51.75" x14ac:dyDescent="0.25">
      <c r="A652" s="169" t="s">
        <v>2594</v>
      </c>
      <c r="B652" s="170" t="s">
        <v>40</v>
      </c>
      <c r="C652" s="170" t="s">
        <v>2586</v>
      </c>
      <c r="D652" s="170" t="s">
        <v>2595</v>
      </c>
      <c r="E652" s="170"/>
      <c r="F652" s="171" t="s">
        <v>2596</v>
      </c>
      <c r="G652" s="184" t="s">
        <v>1262</v>
      </c>
      <c r="H652" s="169"/>
      <c r="I652" s="170"/>
      <c r="J652" s="218"/>
      <c r="K652" s="313"/>
      <c r="L652" s="314"/>
      <c r="M652" s="315"/>
      <c r="N652" s="316"/>
      <c r="O652" s="315"/>
      <c r="P652" s="317"/>
      <c r="Q652" s="485"/>
      <c r="R652" s="486"/>
      <c r="S652" s="487"/>
      <c r="T652" s="488"/>
      <c r="U652" s="487"/>
      <c r="V652" s="489"/>
      <c r="W652" s="672"/>
      <c r="X652" s="673"/>
      <c r="Y652" s="674"/>
      <c r="Z652" s="675"/>
      <c r="AA652" s="674"/>
      <c r="AB652" s="676"/>
      <c r="AC652" s="836"/>
      <c r="AD652" s="837"/>
      <c r="AE652" s="838"/>
      <c r="AF652" s="839"/>
      <c r="AG652" s="838"/>
      <c r="AH652" s="974"/>
      <c r="AI652" s="943"/>
    </row>
    <row r="653" spans="1:35" ht="64.5" x14ac:dyDescent="0.25">
      <c r="A653" s="169" t="s">
        <v>2597</v>
      </c>
      <c r="B653" s="170" t="s">
        <v>40</v>
      </c>
      <c r="C653" s="170" t="s">
        <v>2586</v>
      </c>
      <c r="D653" s="170" t="s">
        <v>2592</v>
      </c>
      <c r="E653" s="170"/>
      <c r="F653" s="171" t="s">
        <v>2598</v>
      </c>
      <c r="G653" s="184" t="s">
        <v>1262</v>
      </c>
      <c r="H653" s="169"/>
      <c r="I653" s="170"/>
      <c r="J653" s="218"/>
      <c r="K653" s="313"/>
      <c r="L653" s="314"/>
      <c r="M653" s="315"/>
      <c r="N653" s="316"/>
      <c r="O653" s="315"/>
      <c r="P653" s="317"/>
      <c r="Q653" s="485"/>
      <c r="R653" s="486"/>
      <c r="S653" s="487"/>
      <c r="T653" s="488"/>
      <c r="U653" s="487"/>
      <c r="V653" s="489"/>
      <c r="W653" s="672"/>
      <c r="X653" s="673"/>
      <c r="Y653" s="674"/>
      <c r="Z653" s="675"/>
      <c r="AA653" s="674"/>
      <c r="AB653" s="676"/>
      <c r="AC653" s="836"/>
      <c r="AD653" s="837"/>
      <c r="AE653" s="838"/>
      <c r="AF653" s="839"/>
      <c r="AG653" s="838"/>
      <c r="AH653" s="974"/>
      <c r="AI653" s="943"/>
    </row>
    <row r="654" spans="1:35" ht="51.75" x14ac:dyDescent="0.25">
      <c r="A654" s="169" t="s">
        <v>2599</v>
      </c>
      <c r="B654" s="170" t="s">
        <v>40</v>
      </c>
      <c r="C654" s="170" t="s">
        <v>2586</v>
      </c>
      <c r="D654" s="170" t="s">
        <v>2592</v>
      </c>
      <c r="E654" s="170"/>
      <c r="F654" s="171" t="s">
        <v>2600</v>
      </c>
      <c r="G654" s="184" t="s">
        <v>1262</v>
      </c>
      <c r="H654" s="169"/>
      <c r="I654" s="170"/>
      <c r="J654" s="218"/>
      <c r="K654" s="313"/>
      <c r="L654" s="314"/>
      <c r="M654" s="315"/>
      <c r="N654" s="316"/>
      <c r="O654" s="315"/>
      <c r="P654" s="317"/>
      <c r="Q654" s="485"/>
      <c r="R654" s="486"/>
      <c r="S654" s="487"/>
      <c r="T654" s="488"/>
      <c r="U654" s="487"/>
      <c r="V654" s="489"/>
      <c r="W654" s="672"/>
      <c r="X654" s="673"/>
      <c r="Y654" s="674"/>
      <c r="Z654" s="675"/>
      <c r="AA654" s="674"/>
      <c r="AB654" s="676"/>
      <c r="AC654" s="836"/>
      <c r="AD654" s="837"/>
      <c r="AE654" s="838"/>
      <c r="AF654" s="839"/>
      <c r="AG654" s="838"/>
      <c r="AH654" s="974"/>
      <c r="AI654" s="943"/>
    </row>
    <row r="655" spans="1:35" ht="26.25" x14ac:dyDescent="0.25">
      <c r="A655" s="18" t="s">
        <v>2601</v>
      </c>
      <c r="B655" s="19" t="s">
        <v>40</v>
      </c>
      <c r="C655" s="19" t="s">
        <v>2586</v>
      </c>
      <c r="D655" s="19" t="s">
        <v>2592</v>
      </c>
      <c r="E655" s="19" t="s">
        <v>2602</v>
      </c>
      <c r="F655" s="20"/>
      <c r="G655" s="21" t="s">
        <v>2603</v>
      </c>
      <c r="H655" s="18" t="s">
        <v>2188</v>
      </c>
      <c r="I655" s="19" t="s">
        <v>1272</v>
      </c>
      <c r="J655" s="210"/>
      <c r="K655" s="250"/>
      <c r="L655" s="251"/>
      <c r="M655" s="252"/>
      <c r="N655" s="253"/>
      <c r="O655" s="252"/>
      <c r="P655" s="254"/>
      <c r="Q655" s="418"/>
      <c r="R655" s="419"/>
      <c r="S655" s="420"/>
      <c r="T655" s="421"/>
      <c r="U655" s="420"/>
      <c r="V655" s="422"/>
      <c r="W655" s="597"/>
      <c r="X655" s="598"/>
      <c r="Y655" s="599"/>
      <c r="Z655" s="600"/>
      <c r="AA655" s="599"/>
      <c r="AB655" s="601"/>
      <c r="AC655" s="781"/>
      <c r="AD655" s="782"/>
      <c r="AE655" s="783"/>
      <c r="AF655" s="784"/>
      <c r="AG655" s="783"/>
      <c r="AH655" s="957"/>
      <c r="AI655" s="913"/>
    </row>
    <row r="656" spans="1:35" ht="26.25" x14ac:dyDescent="0.25">
      <c r="A656" s="18" t="s">
        <v>2604</v>
      </c>
      <c r="B656" s="19" t="s">
        <v>40</v>
      </c>
      <c r="C656" s="19" t="s">
        <v>2586</v>
      </c>
      <c r="D656" s="19" t="s">
        <v>2592</v>
      </c>
      <c r="E656" s="19" t="s">
        <v>2605</v>
      </c>
      <c r="F656" s="20"/>
      <c r="G656" s="21" t="s">
        <v>2606</v>
      </c>
      <c r="H656" s="18" t="s">
        <v>2188</v>
      </c>
      <c r="I656" s="19" t="s">
        <v>1272</v>
      </c>
      <c r="J656" s="210"/>
      <c r="K656" s="250"/>
      <c r="L656" s="251"/>
      <c r="M656" s="252"/>
      <c r="N656" s="253"/>
      <c r="O656" s="252"/>
      <c r="P656" s="254"/>
      <c r="Q656" s="418"/>
      <c r="R656" s="419"/>
      <c r="S656" s="420"/>
      <c r="T656" s="421"/>
      <c r="U656" s="420"/>
      <c r="V656" s="422"/>
      <c r="W656" s="597"/>
      <c r="X656" s="598"/>
      <c r="Y656" s="599"/>
      <c r="Z656" s="600"/>
      <c r="AA656" s="599"/>
      <c r="AB656" s="601"/>
      <c r="AC656" s="781"/>
      <c r="AD656" s="782"/>
      <c r="AE656" s="783"/>
      <c r="AF656" s="784"/>
      <c r="AG656" s="783"/>
      <c r="AH656" s="957"/>
      <c r="AI656" s="913"/>
    </row>
    <row r="657" spans="1:35" ht="26.25" x14ac:dyDescent="0.25">
      <c r="A657" s="18" t="s">
        <v>2607</v>
      </c>
      <c r="B657" s="19" t="s">
        <v>40</v>
      </c>
      <c r="C657" s="19" t="s">
        <v>2586</v>
      </c>
      <c r="D657" s="19" t="s">
        <v>2592</v>
      </c>
      <c r="E657" s="19" t="s">
        <v>317</v>
      </c>
      <c r="F657" s="20"/>
      <c r="G657" s="21" t="s">
        <v>2608</v>
      </c>
      <c r="H657" s="18" t="s">
        <v>1471</v>
      </c>
      <c r="I657" s="19" t="s">
        <v>1272</v>
      </c>
      <c r="J657" s="210"/>
      <c r="K657" s="250"/>
      <c r="L657" s="251"/>
      <c r="M657" s="252"/>
      <c r="N657" s="253"/>
      <c r="O657" s="252"/>
      <c r="P657" s="254"/>
      <c r="Q657" s="418"/>
      <c r="R657" s="419"/>
      <c r="S657" s="420"/>
      <c r="T657" s="421"/>
      <c r="U657" s="420"/>
      <c r="V657" s="422"/>
      <c r="W657" s="597"/>
      <c r="X657" s="598"/>
      <c r="Y657" s="599"/>
      <c r="Z657" s="600"/>
      <c r="AA657" s="599"/>
      <c r="AB657" s="601"/>
      <c r="AC657" s="781"/>
      <c r="AD657" s="782"/>
      <c r="AE657" s="783"/>
      <c r="AF657" s="784"/>
      <c r="AG657" s="783"/>
      <c r="AH657" s="957"/>
      <c r="AI657" s="913" t="s">
        <v>2609</v>
      </c>
    </row>
    <row r="658" spans="1:35" ht="26.25" x14ac:dyDescent="0.25">
      <c r="A658" s="18" t="s">
        <v>2610</v>
      </c>
      <c r="B658" s="19" t="s">
        <v>40</v>
      </c>
      <c r="C658" s="19" t="s">
        <v>2586</v>
      </c>
      <c r="D658" s="19" t="s">
        <v>2592</v>
      </c>
      <c r="E658" s="19" t="s">
        <v>2611</v>
      </c>
      <c r="F658" s="20"/>
      <c r="G658" s="21" t="s">
        <v>2612</v>
      </c>
      <c r="H658" s="18" t="s">
        <v>1471</v>
      </c>
      <c r="I658" s="19" t="s">
        <v>1272</v>
      </c>
      <c r="J658" s="210"/>
      <c r="K658" s="250"/>
      <c r="L658" s="251"/>
      <c r="M658" s="252"/>
      <c r="N658" s="253"/>
      <c r="O658" s="252"/>
      <c r="P658" s="254"/>
      <c r="Q658" s="418"/>
      <c r="R658" s="419"/>
      <c r="S658" s="420"/>
      <c r="T658" s="421"/>
      <c r="U658" s="420"/>
      <c r="V658" s="422"/>
      <c r="W658" s="597"/>
      <c r="X658" s="598"/>
      <c r="Y658" s="599"/>
      <c r="Z658" s="600"/>
      <c r="AA658" s="599"/>
      <c r="AB658" s="601"/>
      <c r="AC658" s="781"/>
      <c r="AD658" s="782"/>
      <c r="AE658" s="783"/>
      <c r="AF658" s="784"/>
      <c r="AG658" s="783"/>
      <c r="AH658" s="957"/>
      <c r="AI658" s="913"/>
    </row>
    <row r="659" spans="1:35" ht="26.25" x14ac:dyDescent="0.25">
      <c r="A659" s="18" t="s">
        <v>2613</v>
      </c>
      <c r="B659" s="19" t="s">
        <v>40</v>
      </c>
      <c r="C659" s="19" t="s">
        <v>2586</v>
      </c>
      <c r="D659" s="19" t="s">
        <v>2592</v>
      </c>
      <c r="E659" s="19" t="s">
        <v>2614</v>
      </c>
      <c r="F659" s="20"/>
      <c r="G659" s="21" t="s">
        <v>2615</v>
      </c>
      <c r="H659" s="18" t="s">
        <v>2616</v>
      </c>
      <c r="I659" s="19" t="s">
        <v>1272</v>
      </c>
      <c r="J659" s="210"/>
      <c r="K659" s="250"/>
      <c r="L659" s="251"/>
      <c r="M659" s="252"/>
      <c r="N659" s="253"/>
      <c r="O659" s="252"/>
      <c r="P659" s="254"/>
      <c r="Q659" s="418"/>
      <c r="R659" s="419"/>
      <c r="S659" s="420"/>
      <c r="T659" s="421"/>
      <c r="U659" s="420"/>
      <c r="V659" s="422"/>
      <c r="W659" s="597"/>
      <c r="X659" s="598"/>
      <c r="Y659" s="599"/>
      <c r="Z659" s="600"/>
      <c r="AA659" s="599"/>
      <c r="AB659" s="601"/>
      <c r="AC659" s="781"/>
      <c r="AD659" s="782"/>
      <c r="AE659" s="783"/>
      <c r="AF659" s="784"/>
      <c r="AG659" s="783"/>
      <c r="AH659" s="957"/>
      <c r="AI659" s="913"/>
    </row>
    <row r="660" spans="1:35" ht="26.25" x14ac:dyDescent="0.25">
      <c r="A660" s="18" t="s">
        <v>2617</v>
      </c>
      <c r="B660" s="19" t="s">
        <v>40</v>
      </c>
      <c r="C660" s="19" t="s">
        <v>2586</v>
      </c>
      <c r="D660" s="19" t="s">
        <v>2592</v>
      </c>
      <c r="E660" s="19" t="s">
        <v>1125</v>
      </c>
      <c r="F660" s="20"/>
      <c r="G660" s="21" t="s">
        <v>2618</v>
      </c>
      <c r="H660" s="18" t="s">
        <v>1422</v>
      </c>
      <c r="I660" s="19" t="s">
        <v>1272</v>
      </c>
      <c r="J660" s="210"/>
      <c r="K660" s="250"/>
      <c r="L660" s="251"/>
      <c r="M660" s="252"/>
      <c r="N660" s="253"/>
      <c r="O660" s="252"/>
      <c r="P660" s="254"/>
      <c r="Q660" s="418"/>
      <c r="R660" s="419"/>
      <c r="S660" s="420"/>
      <c r="T660" s="421"/>
      <c r="U660" s="420"/>
      <c r="V660" s="422"/>
      <c r="W660" s="597"/>
      <c r="X660" s="598"/>
      <c r="Y660" s="599"/>
      <c r="Z660" s="600"/>
      <c r="AA660" s="599"/>
      <c r="AB660" s="601"/>
      <c r="AC660" s="781"/>
      <c r="AD660" s="782"/>
      <c r="AE660" s="783"/>
      <c r="AF660" s="784"/>
      <c r="AG660" s="783"/>
      <c r="AH660" s="957"/>
      <c r="AI660" s="913"/>
    </row>
    <row r="661" spans="1:35" ht="26.25" x14ac:dyDescent="0.25">
      <c r="A661" s="18" t="s">
        <v>2619</v>
      </c>
      <c r="B661" s="19" t="s">
        <v>40</v>
      </c>
      <c r="C661" s="19" t="s">
        <v>2586</v>
      </c>
      <c r="D661" s="19" t="s">
        <v>2592</v>
      </c>
      <c r="E661" s="19" t="s">
        <v>220</v>
      </c>
      <c r="F661" s="20"/>
      <c r="G661" s="21" t="s">
        <v>2620</v>
      </c>
      <c r="H661" s="18" t="s">
        <v>613</v>
      </c>
      <c r="I661" s="19" t="s">
        <v>1272</v>
      </c>
      <c r="J661" s="210"/>
      <c r="K661" s="250"/>
      <c r="L661" s="251"/>
      <c r="M661" s="252"/>
      <c r="N661" s="253"/>
      <c r="O661" s="252"/>
      <c r="P661" s="254"/>
      <c r="Q661" s="418"/>
      <c r="R661" s="419"/>
      <c r="S661" s="420"/>
      <c r="T661" s="421"/>
      <c r="U661" s="420"/>
      <c r="V661" s="422"/>
      <c r="W661" s="597"/>
      <c r="X661" s="598"/>
      <c r="Y661" s="599"/>
      <c r="Z661" s="600"/>
      <c r="AA661" s="599"/>
      <c r="AB661" s="601"/>
      <c r="AC661" s="781"/>
      <c r="AD661" s="782"/>
      <c r="AE661" s="783"/>
      <c r="AF661" s="784"/>
      <c r="AG661" s="783"/>
      <c r="AH661" s="957"/>
      <c r="AI661" s="913"/>
    </row>
    <row r="662" spans="1:35" ht="30.75" thickBot="1" x14ac:dyDescent="0.3">
      <c r="A662" s="149" t="s">
        <v>2621</v>
      </c>
      <c r="B662" s="150" t="s">
        <v>40</v>
      </c>
      <c r="C662" s="150" t="s">
        <v>2586</v>
      </c>
      <c r="D662" s="150" t="s">
        <v>2592</v>
      </c>
      <c r="E662" s="150"/>
      <c r="F662" s="127" t="s">
        <v>2592</v>
      </c>
      <c r="G662" s="151" t="s">
        <v>2592</v>
      </c>
      <c r="H662" s="149" t="s">
        <v>1471</v>
      </c>
      <c r="I662" s="150" t="s">
        <v>1272</v>
      </c>
      <c r="J662" s="223"/>
      <c r="K662" s="338">
        <v>108</v>
      </c>
      <c r="L662" s="339" t="s">
        <v>2622</v>
      </c>
      <c r="M662" s="340" t="s">
        <v>331</v>
      </c>
      <c r="N662" s="341" t="s">
        <v>61</v>
      </c>
      <c r="O662" s="340" t="s">
        <v>331</v>
      </c>
      <c r="P662" s="342" t="s">
        <v>61</v>
      </c>
      <c r="Q662" s="513">
        <v>71</v>
      </c>
      <c r="R662" s="514" t="s">
        <v>2623</v>
      </c>
      <c r="S662" s="515" t="s">
        <v>331</v>
      </c>
      <c r="T662" s="516" t="s">
        <v>61</v>
      </c>
      <c r="U662" s="515" t="s">
        <v>331</v>
      </c>
      <c r="V662" s="517" t="s">
        <v>61</v>
      </c>
      <c r="W662" s="697">
        <v>13</v>
      </c>
      <c r="X662" s="698" t="s">
        <v>584</v>
      </c>
      <c r="Y662" s="699" t="s">
        <v>331</v>
      </c>
      <c r="Z662" s="700" t="s">
        <v>61</v>
      </c>
      <c r="AA662" s="699" t="s">
        <v>331</v>
      </c>
      <c r="AB662" s="701" t="s">
        <v>61</v>
      </c>
      <c r="AC662" s="856">
        <v>24</v>
      </c>
      <c r="AD662" s="857" t="s">
        <v>2624</v>
      </c>
      <c r="AE662" s="858" t="s">
        <v>331</v>
      </c>
      <c r="AF662" s="859" t="s">
        <v>61</v>
      </c>
      <c r="AG662" s="858" t="s">
        <v>331</v>
      </c>
      <c r="AH662" s="979" t="s">
        <v>61</v>
      </c>
      <c r="AI662" s="938"/>
    </row>
    <row r="663" spans="1:35" ht="64.5" x14ac:dyDescent="0.25">
      <c r="A663" s="101" t="s">
        <v>2625</v>
      </c>
      <c r="B663" s="102" t="s">
        <v>40</v>
      </c>
      <c r="C663" s="102" t="s">
        <v>2626</v>
      </c>
      <c r="D663" s="102" t="s">
        <v>2627</v>
      </c>
      <c r="E663" s="102"/>
      <c r="F663" s="103" t="s">
        <v>1291</v>
      </c>
      <c r="G663" s="104" t="s">
        <v>2627</v>
      </c>
      <c r="H663" s="101" t="s">
        <v>2628</v>
      </c>
      <c r="I663" s="102" t="s">
        <v>1272</v>
      </c>
      <c r="J663" s="218"/>
      <c r="K663" s="313"/>
      <c r="L663" s="314"/>
      <c r="M663" s="315"/>
      <c r="N663" s="316"/>
      <c r="O663" s="315"/>
      <c r="P663" s="317"/>
      <c r="Q663" s="485"/>
      <c r="R663" s="486"/>
      <c r="S663" s="487"/>
      <c r="T663" s="488"/>
      <c r="U663" s="487"/>
      <c r="V663" s="489"/>
      <c r="W663" s="672"/>
      <c r="X663" s="673"/>
      <c r="Y663" s="674"/>
      <c r="Z663" s="675"/>
      <c r="AA663" s="674"/>
      <c r="AB663" s="676"/>
      <c r="AC663" s="836"/>
      <c r="AD663" s="837"/>
      <c r="AE663" s="838"/>
      <c r="AF663" s="839"/>
      <c r="AG663" s="838"/>
      <c r="AH663" s="974"/>
      <c r="AI663" s="929" t="s">
        <v>2629</v>
      </c>
    </row>
    <row r="664" spans="1:35" ht="64.5" x14ac:dyDescent="0.25">
      <c r="A664" s="32" t="s">
        <v>2630</v>
      </c>
      <c r="B664" s="33" t="s">
        <v>40</v>
      </c>
      <c r="C664" s="33" t="s">
        <v>2626</v>
      </c>
      <c r="D664" s="33" t="s">
        <v>2631</v>
      </c>
      <c r="E664" s="33"/>
      <c r="F664" s="34" t="s">
        <v>1291</v>
      </c>
      <c r="G664" s="35" t="s">
        <v>2631</v>
      </c>
      <c r="H664" s="32" t="s">
        <v>1853</v>
      </c>
      <c r="I664" s="33" t="s">
        <v>1272</v>
      </c>
      <c r="J664" s="210"/>
      <c r="K664" s="250"/>
      <c r="L664" s="251"/>
      <c r="M664" s="252"/>
      <c r="N664" s="253"/>
      <c r="O664" s="252"/>
      <c r="P664" s="254"/>
      <c r="Q664" s="418"/>
      <c r="R664" s="419"/>
      <c r="S664" s="420"/>
      <c r="T664" s="421"/>
      <c r="U664" s="420"/>
      <c r="V664" s="422"/>
      <c r="W664" s="597"/>
      <c r="X664" s="598"/>
      <c r="Y664" s="599"/>
      <c r="Z664" s="600"/>
      <c r="AA664" s="599"/>
      <c r="AB664" s="601"/>
      <c r="AC664" s="781"/>
      <c r="AD664" s="782"/>
      <c r="AE664" s="783"/>
      <c r="AF664" s="784"/>
      <c r="AG664" s="783"/>
      <c r="AH664" s="957"/>
      <c r="AI664" s="916" t="s">
        <v>2632</v>
      </c>
    </row>
    <row r="665" spans="1:35" ht="64.5" x14ac:dyDescent="0.25">
      <c r="A665" s="32" t="s">
        <v>2633</v>
      </c>
      <c r="B665" s="33" t="s">
        <v>40</v>
      </c>
      <c r="C665" s="33" t="s">
        <v>2626</v>
      </c>
      <c r="D665" s="33" t="s">
        <v>2634</v>
      </c>
      <c r="E665" s="33"/>
      <c r="F665" s="34" t="s">
        <v>1291</v>
      </c>
      <c r="G665" s="35" t="s">
        <v>2634</v>
      </c>
      <c r="H665" s="32" t="s">
        <v>2635</v>
      </c>
      <c r="I665" s="33" t="s">
        <v>1272</v>
      </c>
      <c r="J665" s="210"/>
      <c r="K665" s="250"/>
      <c r="L665" s="251"/>
      <c r="M665" s="252"/>
      <c r="N665" s="253"/>
      <c r="O665" s="252"/>
      <c r="P665" s="254"/>
      <c r="Q665" s="418"/>
      <c r="R665" s="419"/>
      <c r="S665" s="420"/>
      <c r="T665" s="421"/>
      <c r="U665" s="420"/>
      <c r="V665" s="422"/>
      <c r="W665" s="597"/>
      <c r="X665" s="598"/>
      <c r="Y665" s="599"/>
      <c r="Z665" s="600"/>
      <c r="AA665" s="599"/>
      <c r="AB665" s="601"/>
      <c r="AC665" s="781"/>
      <c r="AD665" s="782"/>
      <c r="AE665" s="783"/>
      <c r="AF665" s="784"/>
      <c r="AG665" s="783"/>
      <c r="AH665" s="957"/>
      <c r="AI665" s="916" t="s">
        <v>2636</v>
      </c>
    </row>
    <row r="666" spans="1:35" ht="64.5" x14ac:dyDescent="0.25">
      <c r="A666" s="176" t="s">
        <v>2637</v>
      </c>
      <c r="B666" s="177" t="s">
        <v>40</v>
      </c>
      <c r="C666" s="177" t="s">
        <v>2626</v>
      </c>
      <c r="D666" s="177" t="s">
        <v>2638</v>
      </c>
      <c r="E666" s="177"/>
      <c r="F666" s="178" t="s">
        <v>1291</v>
      </c>
      <c r="G666" s="179" t="s">
        <v>2638</v>
      </c>
      <c r="H666" s="176" t="s">
        <v>2639</v>
      </c>
      <c r="I666" s="177" t="s">
        <v>61</v>
      </c>
      <c r="J666" s="227"/>
      <c r="K666" s="365"/>
      <c r="L666" s="366"/>
      <c r="M666" s="367"/>
      <c r="N666" s="368"/>
      <c r="O666" s="367"/>
      <c r="P666" s="369"/>
      <c r="Q666" s="542"/>
      <c r="R666" s="543"/>
      <c r="S666" s="544"/>
      <c r="T666" s="545"/>
      <c r="U666" s="544"/>
      <c r="V666" s="546"/>
      <c r="W666" s="725"/>
      <c r="X666" s="726"/>
      <c r="Y666" s="727"/>
      <c r="Z666" s="728"/>
      <c r="AA666" s="727"/>
      <c r="AB666" s="729"/>
      <c r="AC666" s="880"/>
      <c r="AD666" s="881"/>
      <c r="AE666" s="882"/>
      <c r="AF666" s="883"/>
      <c r="AG666" s="882"/>
      <c r="AH666" s="986"/>
      <c r="AI666" s="946" t="s">
        <v>2640</v>
      </c>
    </row>
    <row r="667" spans="1:35" ht="64.5" x14ac:dyDescent="0.25">
      <c r="A667" s="32" t="s">
        <v>2641</v>
      </c>
      <c r="B667" s="33" t="s">
        <v>40</v>
      </c>
      <c r="C667" s="33" t="s">
        <v>2626</v>
      </c>
      <c r="D667" s="33" t="s">
        <v>2642</v>
      </c>
      <c r="E667" s="33"/>
      <c r="F667" s="34" t="s">
        <v>1291</v>
      </c>
      <c r="G667" s="35" t="s">
        <v>2642</v>
      </c>
      <c r="H667" s="32" t="s">
        <v>2643</v>
      </c>
      <c r="I667" s="33" t="s">
        <v>1272</v>
      </c>
      <c r="J667" s="210"/>
      <c r="K667" s="250"/>
      <c r="L667" s="251"/>
      <c r="M667" s="252"/>
      <c r="N667" s="253"/>
      <c r="O667" s="252"/>
      <c r="P667" s="254"/>
      <c r="Q667" s="418"/>
      <c r="R667" s="419"/>
      <c r="S667" s="420"/>
      <c r="T667" s="421"/>
      <c r="U667" s="420"/>
      <c r="V667" s="422"/>
      <c r="W667" s="597"/>
      <c r="X667" s="598"/>
      <c r="Y667" s="599"/>
      <c r="Z667" s="600"/>
      <c r="AA667" s="599"/>
      <c r="AB667" s="601"/>
      <c r="AC667" s="781"/>
      <c r="AD667" s="782"/>
      <c r="AE667" s="783"/>
      <c r="AF667" s="784"/>
      <c r="AG667" s="783"/>
      <c r="AH667" s="957"/>
      <c r="AI667" s="916" t="s">
        <v>2644</v>
      </c>
    </row>
    <row r="668" spans="1:35" ht="51.75" x14ac:dyDescent="0.25">
      <c r="A668" s="118" t="s">
        <v>2645</v>
      </c>
      <c r="B668" s="119" t="s">
        <v>40</v>
      </c>
      <c r="C668" s="119" t="s">
        <v>2626</v>
      </c>
      <c r="D668" s="119" t="s">
        <v>2646</v>
      </c>
      <c r="E668" s="119"/>
      <c r="F668" s="112" t="s">
        <v>2647</v>
      </c>
      <c r="G668" s="184" t="s">
        <v>2648</v>
      </c>
      <c r="H668" s="118"/>
      <c r="I668" s="119"/>
      <c r="J668" s="214"/>
      <c r="K668" s="289">
        <v>289</v>
      </c>
      <c r="L668" s="290" t="s">
        <v>2649</v>
      </c>
      <c r="M668" s="291" t="s">
        <v>331</v>
      </c>
      <c r="N668" s="381" t="s">
        <v>61</v>
      </c>
      <c r="O668" s="291" t="s">
        <v>331</v>
      </c>
      <c r="P668" s="292" t="s">
        <v>61</v>
      </c>
      <c r="Q668" s="423">
        <v>177</v>
      </c>
      <c r="R668" s="424" t="s">
        <v>2650</v>
      </c>
      <c r="S668" s="463" t="s">
        <v>331</v>
      </c>
      <c r="T668" s="561" t="s">
        <v>61</v>
      </c>
      <c r="U668" s="463" t="s">
        <v>331</v>
      </c>
      <c r="V668" s="464" t="s">
        <v>61</v>
      </c>
      <c r="W668" s="607">
        <v>55</v>
      </c>
      <c r="X668" s="603" t="s">
        <v>2651</v>
      </c>
      <c r="Y668" s="650" t="s">
        <v>331</v>
      </c>
      <c r="Z668" s="747" t="s">
        <v>61</v>
      </c>
      <c r="AA668" s="650" t="s">
        <v>331</v>
      </c>
      <c r="AB668" s="651" t="s">
        <v>61</v>
      </c>
      <c r="AC668" s="789">
        <v>57</v>
      </c>
      <c r="AD668" s="786" t="s">
        <v>2652</v>
      </c>
      <c r="AE668" s="819" t="s">
        <v>331</v>
      </c>
      <c r="AF668" s="895" t="s">
        <v>61</v>
      </c>
      <c r="AG668" s="819" t="s">
        <v>331</v>
      </c>
      <c r="AH668" s="969" t="s">
        <v>61</v>
      </c>
      <c r="AI668" s="932"/>
    </row>
    <row r="669" spans="1:35" ht="51.75" x14ac:dyDescent="0.25">
      <c r="A669" s="118" t="s">
        <v>2653</v>
      </c>
      <c r="B669" s="119" t="s">
        <v>40</v>
      </c>
      <c r="C669" s="119" t="s">
        <v>2626</v>
      </c>
      <c r="D669" s="119" t="s">
        <v>2646</v>
      </c>
      <c r="E669" s="119"/>
      <c r="F669" s="112" t="s">
        <v>2654</v>
      </c>
      <c r="G669" s="184" t="s">
        <v>1262</v>
      </c>
      <c r="H669" s="118"/>
      <c r="I669" s="119"/>
      <c r="J669" s="214"/>
      <c r="K669" s="289">
        <v>601</v>
      </c>
      <c r="L669" s="290" t="s">
        <v>2655</v>
      </c>
      <c r="M669" s="291" t="s">
        <v>331</v>
      </c>
      <c r="N669" s="381" t="s">
        <v>61</v>
      </c>
      <c r="O669" s="291" t="s">
        <v>331</v>
      </c>
      <c r="P669" s="292" t="s">
        <v>61</v>
      </c>
      <c r="Q669" s="423">
        <v>333</v>
      </c>
      <c r="R669" s="424" t="s">
        <v>2656</v>
      </c>
      <c r="S669" s="463" t="s">
        <v>331</v>
      </c>
      <c r="T669" s="561" t="s">
        <v>61</v>
      </c>
      <c r="U669" s="463" t="s">
        <v>331</v>
      </c>
      <c r="V669" s="464" t="s">
        <v>61</v>
      </c>
      <c r="W669" s="607">
        <v>82</v>
      </c>
      <c r="X669" s="603" t="s">
        <v>1608</v>
      </c>
      <c r="Y669" s="650" t="s">
        <v>331</v>
      </c>
      <c r="Z669" s="747" t="s">
        <v>61</v>
      </c>
      <c r="AA669" s="650" t="s">
        <v>331</v>
      </c>
      <c r="AB669" s="651" t="s">
        <v>61</v>
      </c>
      <c r="AC669" s="789">
        <v>186</v>
      </c>
      <c r="AD669" s="786" t="s">
        <v>2657</v>
      </c>
      <c r="AE669" s="819" t="s">
        <v>331</v>
      </c>
      <c r="AF669" s="895" t="s">
        <v>61</v>
      </c>
      <c r="AG669" s="819" t="s">
        <v>331</v>
      </c>
      <c r="AH669" s="969" t="s">
        <v>61</v>
      </c>
      <c r="AI669" s="932"/>
    </row>
    <row r="670" spans="1:35" ht="64.5" x14ac:dyDescent="0.25">
      <c r="A670" s="118" t="s">
        <v>2658</v>
      </c>
      <c r="B670" s="119" t="s">
        <v>40</v>
      </c>
      <c r="C670" s="119" t="s">
        <v>2626</v>
      </c>
      <c r="D670" s="119" t="s">
        <v>2646</v>
      </c>
      <c r="E670" s="119"/>
      <c r="F670" s="112" t="s">
        <v>2659</v>
      </c>
      <c r="G670" s="184" t="s">
        <v>1262</v>
      </c>
      <c r="H670" s="118"/>
      <c r="I670" s="119"/>
      <c r="J670" s="214"/>
      <c r="K670" s="289"/>
      <c r="L670" s="290"/>
      <c r="M670" s="291"/>
      <c r="N670" s="381"/>
      <c r="O670" s="291"/>
      <c r="P670" s="292"/>
      <c r="Q670" s="423"/>
      <c r="R670" s="424"/>
      <c r="S670" s="463"/>
      <c r="T670" s="561"/>
      <c r="U670" s="463"/>
      <c r="V670" s="464"/>
      <c r="W670" s="607"/>
      <c r="X670" s="603"/>
      <c r="Y670" s="650"/>
      <c r="Z670" s="747"/>
      <c r="AA670" s="650"/>
      <c r="AB670" s="651"/>
      <c r="AC670" s="789"/>
      <c r="AD670" s="786"/>
      <c r="AE670" s="819"/>
      <c r="AF670" s="895"/>
      <c r="AG670" s="819"/>
      <c r="AH670" s="969"/>
      <c r="AI670" s="932"/>
    </row>
    <row r="671" spans="1:35" ht="45" x14ac:dyDescent="0.25">
      <c r="A671" s="41" t="s">
        <v>2660</v>
      </c>
      <c r="B671" s="42" t="s">
        <v>40</v>
      </c>
      <c r="C671" s="42" t="s">
        <v>2626</v>
      </c>
      <c r="D671" s="42" t="s">
        <v>2646</v>
      </c>
      <c r="E671" s="42"/>
      <c r="F671" s="43" t="s">
        <v>72</v>
      </c>
      <c r="G671" s="44" t="s">
        <v>2646</v>
      </c>
      <c r="H671" s="41" t="s">
        <v>2661</v>
      </c>
      <c r="I671" s="42" t="s">
        <v>1272</v>
      </c>
      <c r="J671" s="211"/>
      <c r="K671" s="261">
        <v>890</v>
      </c>
      <c r="L671" s="262" t="s">
        <v>2662</v>
      </c>
      <c r="M671" s="293" t="s">
        <v>331</v>
      </c>
      <c r="N671" s="343" t="s">
        <v>61</v>
      </c>
      <c r="O671" s="293" t="s">
        <v>331</v>
      </c>
      <c r="P671" s="294" t="s">
        <v>61</v>
      </c>
      <c r="Q671" s="431">
        <v>510</v>
      </c>
      <c r="R671" s="432" t="s">
        <v>2663</v>
      </c>
      <c r="S671" s="465" t="s">
        <v>331</v>
      </c>
      <c r="T671" s="518" t="s">
        <v>61</v>
      </c>
      <c r="U671" s="465" t="s">
        <v>331</v>
      </c>
      <c r="V671" s="466" t="s">
        <v>61</v>
      </c>
      <c r="W671" s="611">
        <v>137</v>
      </c>
      <c r="X671" s="612" t="s">
        <v>2664</v>
      </c>
      <c r="Y671" s="652" t="s">
        <v>331</v>
      </c>
      <c r="Z671" s="702" t="s">
        <v>61</v>
      </c>
      <c r="AA671" s="652" t="s">
        <v>331</v>
      </c>
      <c r="AB671" s="616" t="s">
        <v>61</v>
      </c>
      <c r="AC671" s="792">
        <v>243</v>
      </c>
      <c r="AD671" s="793" t="s">
        <v>2665</v>
      </c>
      <c r="AE671" s="820" t="s">
        <v>331</v>
      </c>
      <c r="AF671" s="860" t="s">
        <v>61</v>
      </c>
      <c r="AG671" s="820" t="s">
        <v>331</v>
      </c>
      <c r="AH671" s="960" t="s">
        <v>61</v>
      </c>
      <c r="AI671" s="918"/>
    </row>
    <row r="672" spans="1:35" ht="64.5" x14ac:dyDescent="0.25">
      <c r="A672" s="32" t="s">
        <v>2666</v>
      </c>
      <c r="B672" s="33" t="s">
        <v>40</v>
      </c>
      <c r="C672" s="33" t="s">
        <v>2626</v>
      </c>
      <c r="D672" s="33" t="s">
        <v>2667</v>
      </c>
      <c r="E672" s="33"/>
      <c r="F672" s="34" t="s">
        <v>1291</v>
      </c>
      <c r="G672" s="35" t="s">
        <v>2667</v>
      </c>
      <c r="H672" s="32" t="s">
        <v>2589</v>
      </c>
      <c r="I672" s="33" t="s">
        <v>1272</v>
      </c>
      <c r="J672" s="210"/>
      <c r="K672" s="250"/>
      <c r="L672" s="251"/>
      <c r="M672" s="252"/>
      <c r="N672" s="253"/>
      <c r="O672" s="252"/>
      <c r="P672" s="254"/>
      <c r="Q672" s="418"/>
      <c r="R672" s="419"/>
      <c r="S672" s="420"/>
      <c r="T672" s="421"/>
      <c r="U672" s="420"/>
      <c r="V672" s="422"/>
      <c r="W672" s="597"/>
      <c r="X672" s="598"/>
      <c r="Y672" s="599"/>
      <c r="Z672" s="600"/>
      <c r="AA672" s="599"/>
      <c r="AB672" s="601"/>
      <c r="AC672" s="781"/>
      <c r="AD672" s="782"/>
      <c r="AE672" s="783"/>
      <c r="AF672" s="784"/>
      <c r="AG672" s="783"/>
      <c r="AH672" s="957"/>
      <c r="AI672" s="916" t="s">
        <v>2668</v>
      </c>
    </row>
    <row r="673" spans="1:35" ht="64.5" x14ac:dyDescent="0.25">
      <c r="A673" s="32" t="s">
        <v>2669</v>
      </c>
      <c r="B673" s="33" t="s">
        <v>40</v>
      </c>
      <c r="C673" s="33" t="s">
        <v>2626</v>
      </c>
      <c r="D673" s="33" t="s">
        <v>2670</v>
      </c>
      <c r="E673" s="33"/>
      <c r="F673" s="34" t="s">
        <v>1291</v>
      </c>
      <c r="G673" s="35" t="s">
        <v>2670</v>
      </c>
      <c r="H673" s="32" t="s">
        <v>2671</v>
      </c>
      <c r="I673" s="33" t="s">
        <v>1272</v>
      </c>
      <c r="J673" s="210"/>
      <c r="K673" s="250"/>
      <c r="L673" s="251"/>
      <c r="M673" s="252"/>
      <c r="N673" s="253"/>
      <c r="O673" s="252"/>
      <c r="P673" s="254"/>
      <c r="Q673" s="418"/>
      <c r="R673" s="419"/>
      <c r="S673" s="420"/>
      <c r="T673" s="421"/>
      <c r="U673" s="420"/>
      <c r="V673" s="422"/>
      <c r="W673" s="597"/>
      <c r="X673" s="598"/>
      <c r="Y673" s="599"/>
      <c r="Z673" s="600"/>
      <c r="AA673" s="599"/>
      <c r="AB673" s="601"/>
      <c r="AC673" s="781"/>
      <c r="AD673" s="782"/>
      <c r="AE673" s="783"/>
      <c r="AF673" s="784"/>
      <c r="AG673" s="783"/>
      <c r="AH673" s="957"/>
      <c r="AI673" s="916" t="s">
        <v>2672</v>
      </c>
    </row>
    <row r="674" spans="1:35" ht="39" x14ac:dyDescent="0.25">
      <c r="A674" s="18" t="s">
        <v>2673</v>
      </c>
      <c r="B674" s="19" t="s">
        <v>40</v>
      </c>
      <c r="C674" s="19" t="s">
        <v>2626</v>
      </c>
      <c r="D674" s="19" t="s">
        <v>2674</v>
      </c>
      <c r="E674" s="19" t="s">
        <v>2675</v>
      </c>
      <c r="F674" s="20"/>
      <c r="G674" s="21" t="s">
        <v>2676</v>
      </c>
      <c r="H674" s="18" t="s">
        <v>2677</v>
      </c>
      <c r="I674" s="19" t="s">
        <v>2678</v>
      </c>
      <c r="J674" s="210"/>
      <c r="K674" s="250"/>
      <c r="L674" s="251"/>
      <c r="M674" s="252"/>
      <c r="N674" s="253"/>
      <c r="O674" s="252"/>
      <c r="P674" s="254"/>
      <c r="Q674" s="418"/>
      <c r="R674" s="419"/>
      <c r="S674" s="420"/>
      <c r="T674" s="421"/>
      <c r="U674" s="420"/>
      <c r="V674" s="422"/>
      <c r="W674" s="597"/>
      <c r="X674" s="598"/>
      <c r="Y674" s="599"/>
      <c r="Z674" s="600"/>
      <c r="AA674" s="599"/>
      <c r="AB674" s="601"/>
      <c r="AC674" s="781"/>
      <c r="AD674" s="782"/>
      <c r="AE674" s="783"/>
      <c r="AF674" s="784"/>
      <c r="AG674" s="783"/>
      <c r="AH674" s="957"/>
      <c r="AI674" s="913" t="s">
        <v>2679</v>
      </c>
    </row>
    <row r="675" spans="1:35" ht="39" x14ac:dyDescent="0.25">
      <c r="A675" s="18" t="s">
        <v>2680</v>
      </c>
      <c r="B675" s="19" t="s">
        <v>40</v>
      </c>
      <c r="C675" s="19" t="s">
        <v>2626</v>
      </c>
      <c r="D675" s="19" t="s">
        <v>2674</v>
      </c>
      <c r="E675" s="19" t="s">
        <v>2681</v>
      </c>
      <c r="F675" s="20"/>
      <c r="G675" s="21" t="s">
        <v>2682</v>
      </c>
      <c r="H675" s="18" t="s">
        <v>2683</v>
      </c>
      <c r="I675" s="19" t="s">
        <v>260</v>
      </c>
      <c r="J675" s="210"/>
      <c r="K675" s="250"/>
      <c r="L675" s="251"/>
      <c r="M675" s="252"/>
      <c r="N675" s="253"/>
      <c r="O675" s="252"/>
      <c r="P675" s="254"/>
      <c r="Q675" s="418"/>
      <c r="R675" s="419"/>
      <c r="S675" s="420"/>
      <c r="T675" s="421"/>
      <c r="U675" s="420"/>
      <c r="V675" s="422"/>
      <c r="W675" s="597"/>
      <c r="X675" s="598"/>
      <c r="Y675" s="599"/>
      <c r="Z675" s="600"/>
      <c r="AA675" s="599"/>
      <c r="AB675" s="601"/>
      <c r="AC675" s="781"/>
      <c r="AD675" s="782"/>
      <c r="AE675" s="783"/>
      <c r="AF675" s="784"/>
      <c r="AG675" s="783"/>
      <c r="AH675" s="957"/>
      <c r="AI675" s="913" t="s">
        <v>2684</v>
      </c>
    </row>
    <row r="676" spans="1:35" ht="39" x14ac:dyDescent="0.25">
      <c r="A676" s="18" t="s">
        <v>2685</v>
      </c>
      <c r="B676" s="19" t="s">
        <v>40</v>
      </c>
      <c r="C676" s="19" t="s">
        <v>2626</v>
      </c>
      <c r="D676" s="19" t="s">
        <v>2674</v>
      </c>
      <c r="E676" s="19" t="s">
        <v>2686</v>
      </c>
      <c r="F676" s="20"/>
      <c r="G676" s="21" t="s">
        <v>2687</v>
      </c>
      <c r="H676" s="18" t="s">
        <v>2688</v>
      </c>
      <c r="I676" s="19" t="s">
        <v>260</v>
      </c>
      <c r="J676" s="210"/>
      <c r="K676" s="250"/>
      <c r="L676" s="251"/>
      <c r="M676" s="252"/>
      <c r="N676" s="253"/>
      <c r="O676" s="252"/>
      <c r="P676" s="254"/>
      <c r="Q676" s="418"/>
      <c r="R676" s="419"/>
      <c r="S676" s="420"/>
      <c r="T676" s="421"/>
      <c r="U676" s="420"/>
      <c r="V676" s="422"/>
      <c r="W676" s="597"/>
      <c r="X676" s="598"/>
      <c r="Y676" s="599"/>
      <c r="Z676" s="600"/>
      <c r="AA676" s="599"/>
      <c r="AB676" s="601"/>
      <c r="AC676" s="781"/>
      <c r="AD676" s="782"/>
      <c r="AE676" s="783"/>
      <c r="AF676" s="784"/>
      <c r="AG676" s="783"/>
      <c r="AH676" s="957"/>
      <c r="AI676" s="913"/>
    </row>
    <row r="677" spans="1:35" ht="39" x14ac:dyDescent="0.25">
      <c r="A677" s="18" t="s">
        <v>2689</v>
      </c>
      <c r="B677" s="19" t="s">
        <v>40</v>
      </c>
      <c r="C677" s="19" t="s">
        <v>2626</v>
      </c>
      <c r="D677" s="19" t="s">
        <v>2674</v>
      </c>
      <c r="E677" s="19" t="s">
        <v>2690</v>
      </c>
      <c r="F677" s="20"/>
      <c r="G677" s="21" t="s">
        <v>2691</v>
      </c>
      <c r="H677" s="18" t="s">
        <v>2692</v>
      </c>
      <c r="I677" s="19" t="s">
        <v>260</v>
      </c>
      <c r="J677" s="210"/>
      <c r="K677" s="250"/>
      <c r="L677" s="251"/>
      <c r="M677" s="252"/>
      <c r="N677" s="253"/>
      <c r="O677" s="252"/>
      <c r="P677" s="254"/>
      <c r="Q677" s="418"/>
      <c r="R677" s="419"/>
      <c r="S677" s="420"/>
      <c r="T677" s="421"/>
      <c r="U677" s="420"/>
      <c r="V677" s="422"/>
      <c r="W677" s="597"/>
      <c r="X677" s="598"/>
      <c r="Y677" s="599"/>
      <c r="Z677" s="600"/>
      <c r="AA677" s="599"/>
      <c r="AB677" s="601"/>
      <c r="AC677" s="781"/>
      <c r="AD677" s="782"/>
      <c r="AE677" s="783"/>
      <c r="AF677" s="784"/>
      <c r="AG677" s="783"/>
      <c r="AH677" s="957"/>
      <c r="AI677" s="913" t="s">
        <v>2693</v>
      </c>
    </row>
    <row r="678" spans="1:35" ht="39" x14ac:dyDescent="0.25">
      <c r="A678" s="18" t="s">
        <v>2694</v>
      </c>
      <c r="B678" s="19" t="s">
        <v>40</v>
      </c>
      <c r="C678" s="19" t="s">
        <v>2626</v>
      </c>
      <c r="D678" s="19" t="s">
        <v>2674</v>
      </c>
      <c r="E678" s="19" t="s">
        <v>1875</v>
      </c>
      <c r="F678" s="20"/>
      <c r="G678" s="21" t="s">
        <v>2695</v>
      </c>
      <c r="H678" s="18" t="s">
        <v>2696</v>
      </c>
      <c r="I678" s="19" t="s">
        <v>260</v>
      </c>
      <c r="J678" s="210"/>
      <c r="K678" s="250"/>
      <c r="L678" s="251"/>
      <c r="M678" s="252"/>
      <c r="N678" s="253"/>
      <c r="O678" s="252"/>
      <c r="P678" s="254"/>
      <c r="Q678" s="418"/>
      <c r="R678" s="419"/>
      <c r="S678" s="420"/>
      <c r="T678" s="421"/>
      <c r="U678" s="420"/>
      <c r="V678" s="422"/>
      <c r="W678" s="597"/>
      <c r="X678" s="598"/>
      <c r="Y678" s="599"/>
      <c r="Z678" s="600"/>
      <c r="AA678" s="599"/>
      <c r="AB678" s="601"/>
      <c r="AC678" s="781"/>
      <c r="AD678" s="782"/>
      <c r="AE678" s="783"/>
      <c r="AF678" s="784"/>
      <c r="AG678" s="783"/>
      <c r="AH678" s="957"/>
      <c r="AI678" s="913" t="s">
        <v>2697</v>
      </c>
    </row>
    <row r="679" spans="1:35" ht="39" x14ac:dyDescent="0.25">
      <c r="A679" s="18" t="s">
        <v>2698</v>
      </c>
      <c r="B679" s="19" t="s">
        <v>40</v>
      </c>
      <c r="C679" s="19" t="s">
        <v>2626</v>
      </c>
      <c r="D679" s="19" t="s">
        <v>2674</v>
      </c>
      <c r="E679" s="19" t="s">
        <v>2699</v>
      </c>
      <c r="F679" s="20"/>
      <c r="G679" s="21" t="s">
        <v>2700</v>
      </c>
      <c r="H679" s="18" t="s">
        <v>2317</v>
      </c>
      <c r="I679" s="19" t="s">
        <v>432</v>
      </c>
      <c r="J679" s="210"/>
      <c r="K679" s="250"/>
      <c r="L679" s="251"/>
      <c r="M679" s="252"/>
      <c r="N679" s="253"/>
      <c r="O679" s="252"/>
      <c r="P679" s="254"/>
      <c r="Q679" s="418"/>
      <c r="R679" s="419"/>
      <c r="S679" s="420"/>
      <c r="T679" s="421"/>
      <c r="U679" s="420"/>
      <c r="V679" s="422"/>
      <c r="W679" s="597"/>
      <c r="X679" s="598"/>
      <c r="Y679" s="599"/>
      <c r="Z679" s="600"/>
      <c r="AA679" s="599"/>
      <c r="AB679" s="601"/>
      <c r="AC679" s="781"/>
      <c r="AD679" s="782"/>
      <c r="AE679" s="783"/>
      <c r="AF679" s="784"/>
      <c r="AG679" s="783"/>
      <c r="AH679" s="957"/>
      <c r="AI679" s="913"/>
    </row>
    <row r="680" spans="1:35" ht="39" x14ac:dyDescent="0.25">
      <c r="A680" s="18" t="s">
        <v>2701</v>
      </c>
      <c r="B680" s="19" t="s">
        <v>40</v>
      </c>
      <c r="C680" s="19" t="s">
        <v>2626</v>
      </c>
      <c r="D680" s="19" t="s">
        <v>2674</v>
      </c>
      <c r="E680" s="19" t="s">
        <v>2702</v>
      </c>
      <c r="F680" s="20"/>
      <c r="G680" s="21" t="s">
        <v>2703</v>
      </c>
      <c r="H680" s="18" t="s">
        <v>2678</v>
      </c>
      <c r="I680" s="19" t="s">
        <v>432</v>
      </c>
      <c r="J680" s="210"/>
      <c r="K680" s="250"/>
      <c r="L680" s="251"/>
      <c r="M680" s="252"/>
      <c r="N680" s="253"/>
      <c r="O680" s="252"/>
      <c r="P680" s="254"/>
      <c r="Q680" s="418"/>
      <c r="R680" s="419"/>
      <c r="S680" s="420"/>
      <c r="T680" s="421"/>
      <c r="U680" s="420"/>
      <c r="V680" s="422"/>
      <c r="W680" s="597"/>
      <c r="X680" s="598"/>
      <c r="Y680" s="599"/>
      <c r="Z680" s="600"/>
      <c r="AA680" s="599"/>
      <c r="AB680" s="601"/>
      <c r="AC680" s="781"/>
      <c r="AD680" s="782"/>
      <c r="AE680" s="783"/>
      <c r="AF680" s="784"/>
      <c r="AG680" s="783"/>
      <c r="AH680" s="957"/>
      <c r="AI680" s="913"/>
    </row>
    <row r="681" spans="1:35" ht="39" x14ac:dyDescent="0.25">
      <c r="A681" s="18" t="s">
        <v>2704</v>
      </c>
      <c r="B681" s="19" t="s">
        <v>40</v>
      </c>
      <c r="C681" s="19" t="s">
        <v>2626</v>
      </c>
      <c r="D681" s="19" t="s">
        <v>2674</v>
      </c>
      <c r="E681" s="19" t="s">
        <v>2705</v>
      </c>
      <c r="F681" s="20"/>
      <c r="G681" s="21" t="s">
        <v>2706</v>
      </c>
      <c r="H681" s="18" t="s">
        <v>2707</v>
      </c>
      <c r="I681" s="19" t="s">
        <v>432</v>
      </c>
      <c r="J681" s="210"/>
      <c r="K681" s="250"/>
      <c r="L681" s="251"/>
      <c r="M681" s="252"/>
      <c r="N681" s="253"/>
      <c r="O681" s="252"/>
      <c r="P681" s="254"/>
      <c r="Q681" s="418"/>
      <c r="R681" s="419"/>
      <c r="S681" s="420"/>
      <c r="T681" s="421"/>
      <c r="U681" s="420"/>
      <c r="V681" s="422"/>
      <c r="W681" s="597"/>
      <c r="X681" s="598"/>
      <c r="Y681" s="599"/>
      <c r="Z681" s="600"/>
      <c r="AA681" s="599"/>
      <c r="AB681" s="601"/>
      <c r="AC681" s="781"/>
      <c r="AD681" s="782"/>
      <c r="AE681" s="783"/>
      <c r="AF681" s="784"/>
      <c r="AG681" s="783"/>
      <c r="AH681" s="957"/>
      <c r="AI681" s="913" t="s">
        <v>2708</v>
      </c>
    </row>
    <row r="682" spans="1:35" ht="39" x14ac:dyDescent="0.25">
      <c r="A682" s="18" t="s">
        <v>2709</v>
      </c>
      <c r="B682" s="19" t="s">
        <v>40</v>
      </c>
      <c r="C682" s="19" t="s">
        <v>2626</v>
      </c>
      <c r="D682" s="19" t="s">
        <v>2674</v>
      </c>
      <c r="E682" s="19" t="s">
        <v>1306</v>
      </c>
      <c r="F682" s="20"/>
      <c r="G682" s="21" t="s">
        <v>2710</v>
      </c>
      <c r="H682" s="18" t="s">
        <v>2696</v>
      </c>
      <c r="I682" s="19" t="s">
        <v>276</v>
      </c>
      <c r="J682" s="210"/>
      <c r="K682" s="250"/>
      <c r="L682" s="251"/>
      <c r="M682" s="252"/>
      <c r="N682" s="253"/>
      <c r="O682" s="252"/>
      <c r="P682" s="254"/>
      <c r="Q682" s="418"/>
      <c r="R682" s="419"/>
      <c r="S682" s="420"/>
      <c r="T682" s="421"/>
      <c r="U682" s="420"/>
      <c r="V682" s="422"/>
      <c r="W682" s="597"/>
      <c r="X682" s="598"/>
      <c r="Y682" s="599"/>
      <c r="Z682" s="600"/>
      <c r="AA682" s="599"/>
      <c r="AB682" s="601"/>
      <c r="AC682" s="781"/>
      <c r="AD682" s="782"/>
      <c r="AE682" s="783"/>
      <c r="AF682" s="784"/>
      <c r="AG682" s="783"/>
      <c r="AH682" s="957"/>
      <c r="AI682" s="913" t="s">
        <v>2711</v>
      </c>
    </row>
    <row r="683" spans="1:35" ht="39" x14ac:dyDescent="0.25">
      <c r="A683" s="18" t="s">
        <v>2712</v>
      </c>
      <c r="B683" s="19" t="s">
        <v>40</v>
      </c>
      <c r="C683" s="19" t="s">
        <v>2626</v>
      </c>
      <c r="D683" s="19" t="s">
        <v>2674</v>
      </c>
      <c r="E683" s="19" t="s">
        <v>2713</v>
      </c>
      <c r="F683" s="20"/>
      <c r="G683" s="21" t="s">
        <v>2714</v>
      </c>
      <c r="H683" s="18" t="s">
        <v>2696</v>
      </c>
      <c r="I683" s="19" t="s">
        <v>276</v>
      </c>
      <c r="J683" s="210"/>
      <c r="K683" s="250"/>
      <c r="L683" s="251"/>
      <c r="M683" s="252"/>
      <c r="N683" s="253"/>
      <c r="O683" s="252"/>
      <c r="P683" s="254"/>
      <c r="Q683" s="418"/>
      <c r="R683" s="419"/>
      <c r="S683" s="420"/>
      <c r="T683" s="421"/>
      <c r="U683" s="420"/>
      <c r="V683" s="422"/>
      <c r="W683" s="597"/>
      <c r="X683" s="598"/>
      <c r="Y683" s="599"/>
      <c r="Z683" s="600"/>
      <c r="AA683" s="599"/>
      <c r="AB683" s="601"/>
      <c r="AC683" s="781"/>
      <c r="AD683" s="782"/>
      <c r="AE683" s="783"/>
      <c r="AF683" s="784"/>
      <c r="AG683" s="783"/>
      <c r="AH683" s="957"/>
      <c r="AI683" s="913"/>
    </row>
    <row r="684" spans="1:35" ht="39" x14ac:dyDescent="0.25">
      <c r="A684" s="18" t="s">
        <v>2715</v>
      </c>
      <c r="B684" s="19" t="s">
        <v>40</v>
      </c>
      <c r="C684" s="19" t="s">
        <v>2626</v>
      </c>
      <c r="D684" s="19" t="s">
        <v>2674</v>
      </c>
      <c r="E684" s="19" t="s">
        <v>814</v>
      </c>
      <c r="F684" s="20"/>
      <c r="G684" s="21" t="s">
        <v>2716</v>
      </c>
      <c r="H684" s="18" t="s">
        <v>2717</v>
      </c>
      <c r="I684" s="19" t="s">
        <v>260</v>
      </c>
      <c r="J684" s="210"/>
      <c r="K684" s="250"/>
      <c r="L684" s="251"/>
      <c r="M684" s="252"/>
      <c r="N684" s="253"/>
      <c r="O684" s="252"/>
      <c r="P684" s="254"/>
      <c r="Q684" s="418"/>
      <c r="R684" s="419"/>
      <c r="S684" s="420"/>
      <c r="T684" s="421"/>
      <c r="U684" s="420"/>
      <c r="V684" s="422"/>
      <c r="W684" s="597"/>
      <c r="X684" s="598"/>
      <c r="Y684" s="599"/>
      <c r="Z684" s="600"/>
      <c r="AA684" s="599"/>
      <c r="AB684" s="601"/>
      <c r="AC684" s="781"/>
      <c r="AD684" s="782"/>
      <c r="AE684" s="783"/>
      <c r="AF684" s="784"/>
      <c r="AG684" s="783"/>
      <c r="AH684" s="957"/>
      <c r="AI684" s="913" t="s">
        <v>2718</v>
      </c>
    </row>
    <row r="685" spans="1:35" ht="39" x14ac:dyDescent="0.25">
      <c r="A685" s="18" t="s">
        <v>2719</v>
      </c>
      <c r="B685" s="19" t="s">
        <v>40</v>
      </c>
      <c r="C685" s="19" t="s">
        <v>2626</v>
      </c>
      <c r="D685" s="19" t="s">
        <v>2674</v>
      </c>
      <c r="E685" s="19" t="s">
        <v>2720</v>
      </c>
      <c r="F685" s="20"/>
      <c r="G685" s="21" t="s">
        <v>2721</v>
      </c>
      <c r="H685" s="18" t="s">
        <v>2696</v>
      </c>
      <c r="I685" s="19" t="s">
        <v>276</v>
      </c>
      <c r="J685" s="210"/>
      <c r="K685" s="250"/>
      <c r="L685" s="251"/>
      <c r="M685" s="252"/>
      <c r="N685" s="253"/>
      <c r="O685" s="252"/>
      <c r="P685" s="254"/>
      <c r="Q685" s="418"/>
      <c r="R685" s="419"/>
      <c r="S685" s="420"/>
      <c r="T685" s="421"/>
      <c r="U685" s="420"/>
      <c r="V685" s="422"/>
      <c r="W685" s="597"/>
      <c r="X685" s="598"/>
      <c r="Y685" s="599"/>
      <c r="Z685" s="600"/>
      <c r="AA685" s="599"/>
      <c r="AB685" s="601"/>
      <c r="AC685" s="781"/>
      <c r="AD685" s="782"/>
      <c r="AE685" s="783"/>
      <c r="AF685" s="784"/>
      <c r="AG685" s="783"/>
      <c r="AH685" s="957"/>
      <c r="AI685" s="913" t="s">
        <v>2722</v>
      </c>
    </row>
    <row r="686" spans="1:35" ht="60" x14ac:dyDescent="0.25">
      <c r="A686" s="27" t="s">
        <v>2723</v>
      </c>
      <c r="B686" s="28" t="s">
        <v>40</v>
      </c>
      <c r="C686" s="28" t="s">
        <v>2626</v>
      </c>
      <c r="D686" s="28" t="s">
        <v>2674</v>
      </c>
      <c r="E686" s="28"/>
      <c r="F686" s="29" t="s">
        <v>2674</v>
      </c>
      <c r="G686" s="30" t="s">
        <v>2674</v>
      </c>
      <c r="H686" s="27" t="s">
        <v>2724</v>
      </c>
      <c r="I686" s="28" t="s">
        <v>383</v>
      </c>
      <c r="J686" s="211"/>
      <c r="K686" s="261">
        <v>548</v>
      </c>
      <c r="L686" s="262" t="s">
        <v>2725</v>
      </c>
      <c r="M686" s="263">
        <f>(1051917/3000)-K686</f>
        <v>-197.36099999999999</v>
      </c>
      <c r="N686" s="264">
        <f>1920/3000</f>
        <v>0.64</v>
      </c>
      <c r="O686" s="263">
        <f>(1051917/2000)-K686</f>
        <v>-22.041500000000042</v>
      </c>
      <c r="P686" s="265">
        <f>1920/2000</f>
        <v>0.96</v>
      </c>
      <c r="Q686" s="431">
        <v>336</v>
      </c>
      <c r="R686" s="432" t="s">
        <v>2726</v>
      </c>
      <c r="S686" s="433">
        <f>(578592/3000)-Q686</f>
        <v>-143.136</v>
      </c>
      <c r="T686" s="434">
        <f>1722/3000</f>
        <v>0.57399999999999995</v>
      </c>
      <c r="U686" s="433">
        <f>(578592/2000)-Q686</f>
        <v>-46.704000000000008</v>
      </c>
      <c r="V686" s="435">
        <f>1722/2000</f>
        <v>0.86099999999999999</v>
      </c>
      <c r="W686" s="611">
        <v>73</v>
      </c>
      <c r="X686" s="612" t="s">
        <v>2727</v>
      </c>
      <c r="Y686" s="621">
        <f>(189789/3000)-W686</f>
        <v>-9.7370000000000019</v>
      </c>
      <c r="Z686" s="622">
        <f>2600/3000</f>
        <v>0.8666666666666667</v>
      </c>
      <c r="AA686" s="621">
        <f>(189789/2000)-W686</f>
        <v>21.894499999999994</v>
      </c>
      <c r="AB686" s="623">
        <f>2600/2000</f>
        <v>1.3</v>
      </c>
      <c r="AC686" s="792">
        <v>139</v>
      </c>
      <c r="AD686" s="793" t="s">
        <v>1707</v>
      </c>
      <c r="AE686" s="794">
        <f>(263509/3000)-AC686</f>
        <v>-51.163666666666671</v>
      </c>
      <c r="AF686" s="795">
        <f>1896/3000</f>
        <v>0.63200000000000001</v>
      </c>
      <c r="AG686" s="794">
        <f>(263509/2000)-AC686</f>
        <v>-7.2454999999999927</v>
      </c>
      <c r="AH686" s="959">
        <f>1896/2000</f>
        <v>0.94799999999999995</v>
      </c>
      <c r="AI686" s="915" t="s">
        <v>2728</v>
      </c>
    </row>
    <row r="687" spans="1:35" ht="39" x14ac:dyDescent="0.25">
      <c r="A687" s="18" t="s">
        <v>2729</v>
      </c>
      <c r="B687" s="19" t="s">
        <v>40</v>
      </c>
      <c r="C687" s="19" t="s">
        <v>2626</v>
      </c>
      <c r="D687" s="19" t="s">
        <v>2730</v>
      </c>
      <c r="E687" s="19" t="s">
        <v>2675</v>
      </c>
      <c r="F687" s="20"/>
      <c r="G687" s="21" t="s">
        <v>2731</v>
      </c>
      <c r="H687" s="18" t="s">
        <v>2732</v>
      </c>
      <c r="I687" s="19" t="s">
        <v>432</v>
      </c>
      <c r="J687" s="210"/>
      <c r="K687" s="250"/>
      <c r="L687" s="251"/>
      <c r="M687" s="252"/>
      <c r="N687" s="253"/>
      <c r="O687" s="252"/>
      <c r="P687" s="254"/>
      <c r="Q687" s="418"/>
      <c r="R687" s="419"/>
      <c r="S687" s="420"/>
      <c r="T687" s="421"/>
      <c r="U687" s="420"/>
      <c r="V687" s="422"/>
      <c r="W687" s="597"/>
      <c r="X687" s="598"/>
      <c r="Y687" s="599"/>
      <c r="Z687" s="600"/>
      <c r="AA687" s="599"/>
      <c r="AB687" s="601"/>
      <c r="AC687" s="781"/>
      <c r="AD687" s="782"/>
      <c r="AE687" s="783"/>
      <c r="AF687" s="784"/>
      <c r="AG687" s="783"/>
      <c r="AH687" s="957"/>
      <c r="AI687" s="913" t="s">
        <v>2733</v>
      </c>
    </row>
    <row r="688" spans="1:35" ht="51.75" x14ac:dyDescent="0.25">
      <c r="A688" s="18" t="s">
        <v>2734</v>
      </c>
      <c r="B688" s="19" t="s">
        <v>40</v>
      </c>
      <c r="C688" s="19" t="s">
        <v>2626</v>
      </c>
      <c r="D688" s="19" t="s">
        <v>2730</v>
      </c>
      <c r="E688" s="19" t="s">
        <v>2681</v>
      </c>
      <c r="F688" s="20"/>
      <c r="G688" s="21" t="s">
        <v>2735</v>
      </c>
      <c r="H688" s="18" t="s">
        <v>2732</v>
      </c>
      <c r="I688" s="19" t="s">
        <v>432</v>
      </c>
      <c r="J688" s="210"/>
      <c r="K688" s="250"/>
      <c r="L688" s="251"/>
      <c r="M688" s="252"/>
      <c r="N688" s="253"/>
      <c r="O688" s="252"/>
      <c r="P688" s="254"/>
      <c r="Q688" s="418"/>
      <c r="R688" s="419"/>
      <c r="S688" s="420"/>
      <c r="T688" s="421"/>
      <c r="U688" s="420"/>
      <c r="V688" s="422"/>
      <c r="W688" s="597"/>
      <c r="X688" s="598"/>
      <c r="Y688" s="599"/>
      <c r="Z688" s="600"/>
      <c r="AA688" s="599"/>
      <c r="AB688" s="601"/>
      <c r="AC688" s="781"/>
      <c r="AD688" s="782"/>
      <c r="AE688" s="783"/>
      <c r="AF688" s="784"/>
      <c r="AG688" s="783"/>
      <c r="AH688" s="957"/>
      <c r="AI688" s="913" t="s">
        <v>2736</v>
      </c>
    </row>
    <row r="689" spans="1:35" ht="51.75" x14ac:dyDescent="0.25">
      <c r="A689" s="18" t="s">
        <v>2737</v>
      </c>
      <c r="B689" s="19" t="s">
        <v>40</v>
      </c>
      <c r="C689" s="19" t="s">
        <v>2626</v>
      </c>
      <c r="D689" s="19" t="s">
        <v>2730</v>
      </c>
      <c r="E689" s="19" t="s">
        <v>2690</v>
      </c>
      <c r="F689" s="20"/>
      <c r="G689" s="21" t="s">
        <v>2738</v>
      </c>
      <c r="H689" s="18" t="s">
        <v>2739</v>
      </c>
      <c r="I689" s="19" t="s">
        <v>432</v>
      </c>
      <c r="J689" s="210"/>
      <c r="K689" s="250"/>
      <c r="L689" s="251"/>
      <c r="M689" s="252"/>
      <c r="N689" s="253"/>
      <c r="O689" s="252"/>
      <c r="P689" s="254"/>
      <c r="Q689" s="418"/>
      <c r="R689" s="419"/>
      <c r="S689" s="420"/>
      <c r="T689" s="421"/>
      <c r="U689" s="420"/>
      <c r="V689" s="422"/>
      <c r="W689" s="597"/>
      <c r="X689" s="598"/>
      <c r="Y689" s="599"/>
      <c r="Z689" s="600"/>
      <c r="AA689" s="599"/>
      <c r="AB689" s="601"/>
      <c r="AC689" s="781"/>
      <c r="AD689" s="782"/>
      <c r="AE689" s="783"/>
      <c r="AF689" s="784"/>
      <c r="AG689" s="783"/>
      <c r="AH689" s="957"/>
      <c r="AI689" s="913" t="s">
        <v>2740</v>
      </c>
    </row>
    <row r="690" spans="1:35" ht="39" x14ac:dyDescent="0.25">
      <c r="A690" s="18" t="s">
        <v>2741</v>
      </c>
      <c r="B690" s="19" t="s">
        <v>40</v>
      </c>
      <c r="C690" s="19" t="s">
        <v>2626</v>
      </c>
      <c r="D690" s="19" t="s">
        <v>2730</v>
      </c>
      <c r="E690" s="19" t="s">
        <v>2705</v>
      </c>
      <c r="F690" s="20"/>
      <c r="G690" s="21" t="s">
        <v>2742</v>
      </c>
      <c r="H690" s="18" t="s">
        <v>2743</v>
      </c>
      <c r="I690" s="19" t="s">
        <v>432</v>
      </c>
      <c r="J690" s="210"/>
      <c r="K690" s="250"/>
      <c r="L690" s="251"/>
      <c r="M690" s="252"/>
      <c r="N690" s="253"/>
      <c r="O690" s="252"/>
      <c r="P690" s="254"/>
      <c r="Q690" s="418"/>
      <c r="R690" s="419"/>
      <c r="S690" s="420"/>
      <c r="T690" s="421"/>
      <c r="U690" s="420"/>
      <c r="V690" s="422"/>
      <c r="W690" s="597"/>
      <c r="X690" s="598"/>
      <c r="Y690" s="599"/>
      <c r="Z690" s="600"/>
      <c r="AA690" s="599"/>
      <c r="AB690" s="601"/>
      <c r="AC690" s="781"/>
      <c r="AD690" s="782"/>
      <c r="AE690" s="783"/>
      <c r="AF690" s="784"/>
      <c r="AG690" s="783"/>
      <c r="AH690" s="957"/>
      <c r="AI690" s="913" t="s">
        <v>2744</v>
      </c>
    </row>
    <row r="691" spans="1:35" ht="45" x14ac:dyDescent="0.25">
      <c r="A691" s="27" t="s">
        <v>2745</v>
      </c>
      <c r="B691" s="28" t="s">
        <v>40</v>
      </c>
      <c r="C691" s="28" t="s">
        <v>2626</v>
      </c>
      <c r="D691" s="28" t="s">
        <v>2730</v>
      </c>
      <c r="E691" s="28"/>
      <c r="F691" s="29"/>
      <c r="G691" s="30" t="s">
        <v>2730</v>
      </c>
      <c r="H691" s="27" t="s">
        <v>2746</v>
      </c>
      <c r="I691" s="28" t="s">
        <v>556</v>
      </c>
      <c r="J691" s="211"/>
      <c r="K691" s="261">
        <v>348</v>
      </c>
      <c r="L691" s="262" t="s">
        <v>2747</v>
      </c>
      <c r="M691" s="266">
        <f>(1051917/2000)-K691</f>
        <v>177.95849999999996</v>
      </c>
      <c r="N691" s="267">
        <f>3023/2000</f>
        <v>1.5115000000000001</v>
      </c>
      <c r="O691" s="266">
        <f>(1051917/1000)-K691</f>
        <v>703.91699999999992</v>
      </c>
      <c r="P691" s="268">
        <f>3023/1000</f>
        <v>3.0230000000000001</v>
      </c>
      <c r="Q691" s="431">
        <v>161</v>
      </c>
      <c r="R691" s="432" t="s">
        <v>2748</v>
      </c>
      <c r="S691" s="442">
        <f>(578592/2000)-Q691</f>
        <v>128.29599999999999</v>
      </c>
      <c r="T691" s="443">
        <f>3594/2000</f>
        <v>1.7969999999999999</v>
      </c>
      <c r="U691" s="442">
        <f>(578592/1000)-Q691</f>
        <v>417.59199999999998</v>
      </c>
      <c r="V691" s="444">
        <f>3594/1000</f>
        <v>3.5939999999999999</v>
      </c>
      <c r="W691" s="611">
        <v>56</v>
      </c>
      <c r="X691" s="612" t="s">
        <v>2749</v>
      </c>
      <c r="Y691" s="627">
        <f>(189789/2000)-W691</f>
        <v>38.894499999999994</v>
      </c>
      <c r="Z691" s="642">
        <f>3389/2000</f>
        <v>1.6944999999999999</v>
      </c>
      <c r="AA691" s="627">
        <f>(189789/1000)-W691</f>
        <v>133.78899999999999</v>
      </c>
      <c r="AB691" s="643">
        <f>3389/1000</f>
        <v>3.3889999999999998</v>
      </c>
      <c r="AC691" s="792">
        <v>131</v>
      </c>
      <c r="AD691" s="793" t="s">
        <v>2750</v>
      </c>
      <c r="AE691" s="799">
        <f>(263509/2000)-AC691</f>
        <v>0.75450000000000728</v>
      </c>
      <c r="AF691" s="817">
        <f>2012/2000</f>
        <v>1.006</v>
      </c>
      <c r="AG691" s="799">
        <f>(263509/1000)-AC691</f>
        <v>132.50900000000001</v>
      </c>
      <c r="AH691" s="968">
        <f>2012/1000</f>
        <v>2.012</v>
      </c>
      <c r="AI691" s="915" t="s">
        <v>2751</v>
      </c>
    </row>
    <row r="692" spans="1:35" ht="64.5" x14ac:dyDescent="0.25">
      <c r="A692" s="32" t="s">
        <v>2752</v>
      </c>
      <c r="B692" s="33" t="s">
        <v>40</v>
      </c>
      <c r="C692" s="33" t="s">
        <v>2626</v>
      </c>
      <c r="D692" s="33" t="s">
        <v>2753</v>
      </c>
      <c r="E692" s="33"/>
      <c r="F692" s="34" t="s">
        <v>1291</v>
      </c>
      <c r="G692" s="35" t="s">
        <v>2753</v>
      </c>
      <c r="H692" s="32" t="s">
        <v>2754</v>
      </c>
      <c r="I692" s="33" t="s">
        <v>432</v>
      </c>
      <c r="J692" s="210"/>
      <c r="K692" s="250"/>
      <c r="L692" s="251"/>
      <c r="M692" s="252"/>
      <c r="N692" s="253"/>
      <c r="O692" s="252"/>
      <c r="P692" s="254"/>
      <c r="Q692" s="418"/>
      <c r="R692" s="419"/>
      <c r="S692" s="420"/>
      <c r="T692" s="421"/>
      <c r="U692" s="420"/>
      <c r="V692" s="422"/>
      <c r="W692" s="597"/>
      <c r="X692" s="598"/>
      <c r="Y692" s="599"/>
      <c r="Z692" s="600"/>
      <c r="AA692" s="599"/>
      <c r="AB692" s="601"/>
      <c r="AC692" s="781"/>
      <c r="AD692" s="782"/>
      <c r="AE692" s="783"/>
      <c r="AF692" s="784"/>
      <c r="AG692" s="783"/>
      <c r="AH692" s="957"/>
      <c r="AI692" s="916" t="s">
        <v>2755</v>
      </c>
    </row>
    <row r="693" spans="1:35" ht="64.5" x14ac:dyDescent="0.25">
      <c r="A693" s="32" t="s">
        <v>2756</v>
      </c>
      <c r="B693" s="33" t="s">
        <v>40</v>
      </c>
      <c r="C693" s="33" t="s">
        <v>2626</v>
      </c>
      <c r="D693" s="33" t="s">
        <v>2757</v>
      </c>
      <c r="E693" s="33"/>
      <c r="F693" s="34" t="s">
        <v>1291</v>
      </c>
      <c r="G693" s="35" t="s">
        <v>2757</v>
      </c>
      <c r="H693" s="32" t="s">
        <v>2758</v>
      </c>
      <c r="I693" s="33" t="s">
        <v>89</v>
      </c>
      <c r="J693" s="210"/>
      <c r="K693" s="250"/>
      <c r="L693" s="251"/>
      <c r="M693" s="252"/>
      <c r="N693" s="253"/>
      <c r="O693" s="252"/>
      <c r="P693" s="254"/>
      <c r="Q693" s="418"/>
      <c r="R693" s="419"/>
      <c r="S693" s="420"/>
      <c r="T693" s="421"/>
      <c r="U693" s="420"/>
      <c r="V693" s="422"/>
      <c r="W693" s="597"/>
      <c r="X693" s="598"/>
      <c r="Y693" s="599"/>
      <c r="Z693" s="600"/>
      <c r="AA693" s="599"/>
      <c r="AB693" s="601"/>
      <c r="AC693" s="781"/>
      <c r="AD693" s="782"/>
      <c r="AE693" s="783"/>
      <c r="AF693" s="784"/>
      <c r="AG693" s="783"/>
      <c r="AH693" s="957"/>
      <c r="AI693" s="916" t="s">
        <v>2759</v>
      </c>
    </row>
    <row r="694" spans="1:35" ht="64.5" x14ac:dyDescent="0.25">
      <c r="A694" s="32" t="s">
        <v>2760</v>
      </c>
      <c r="B694" s="33" t="s">
        <v>40</v>
      </c>
      <c r="C694" s="33" t="s">
        <v>2626</v>
      </c>
      <c r="D694" s="33" t="s">
        <v>2761</v>
      </c>
      <c r="E694" s="33"/>
      <c r="F694" s="34" t="s">
        <v>1291</v>
      </c>
      <c r="G694" s="35" t="s">
        <v>2761</v>
      </c>
      <c r="H694" s="32" t="s">
        <v>2162</v>
      </c>
      <c r="I694" s="33" t="s">
        <v>1272</v>
      </c>
      <c r="J694" s="210"/>
      <c r="K694" s="250"/>
      <c r="L694" s="251"/>
      <c r="M694" s="252"/>
      <c r="N694" s="253"/>
      <c r="O694" s="252"/>
      <c r="P694" s="254"/>
      <c r="Q694" s="418"/>
      <c r="R694" s="419"/>
      <c r="S694" s="420"/>
      <c r="T694" s="421"/>
      <c r="U694" s="420"/>
      <c r="V694" s="422"/>
      <c r="W694" s="597"/>
      <c r="X694" s="598"/>
      <c r="Y694" s="599"/>
      <c r="Z694" s="600"/>
      <c r="AA694" s="599"/>
      <c r="AB694" s="601"/>
      <c r="AC694" s="781"/>
      <c r="AD694" s="782"/>
      <c r="AE694" s="783"/>
      <c r="AF694" s="784"/>
      <c r="AG694" s="783"/>
      <c r="AH694" s="957"/>
      <c r="AI694" s="916" t="s">
        <v>2668</v>
      </c>
    </row>
    <row r="695" spans="1:35" ht="39" x14ac:dyDescent="0.25">
      <c r="A695" s="18" t="s">
        <v>2762</v>
      </c>
      <c r="B695" s="19" t="s">
        <v>40</v>
      </c>
      <c r="C695" s="19" t="s">
        <v>2626</v>
      </c>
      <c r="D695" s="19" t="s">
        <v>2763</v>
      </c>
      <c r="E695" s="19" t="s">
        <v>2764</v>
      </c>
      <c r="F695" s="20"/>
      <c r="G695" s="21" t="s">
        <v>2765</v>
      </c>
      <c r="H695" s="18" t="s">
        <v>2766</v>
      </c>
      <c r="I695" s="19" t="s">
        <v>89</v>
      </c>
      <c r="J695" s="210"/>
      <c r="K695" s="250"/>
      <c r="L695" s="251"/>
      <c r="M695" s="252"/>
      <c r="N695" s="253"/>
      <c r="O695" s="252"/>
      <c r="P695" s="254"/>
      <c r="Q695" s="418"/>
      <c r="R695" s="419"/>
      <c r="S695" s="420"/>
      <c r="T695" s="421"/>
      <c r="U695" s="420"/>
      <c r="V695" s="422"/>
      <c r="W695" s="597"/>
      <c r="X695" s="598"/>
      <c r="Y695" s="599"/>
      <c r="Z695" s="600"/>
      <c r="AA695" s="599"/>
      <c r="AB695" s="601"/>
      <c r="AC695" s="781"/>
      <c r="AD695" s="782"/>
      <c r="AE695" s="783"/>
      <c r="AF695" s="784"/>
      <c r="AG695" s="783"/>
      <c r="AH695" s="957"/>
      <c r="AI695" s="913" t="s">
        <v>2767</v>
      </c>
    </row>
    <row r="696" spans="1:35" ht="39" x14ac:dyDescent="0.25">
      <c r="A696" s="18" t="s">
        <v>2768</v>
      </c>
      <c r="B696" s="19" t="s">
        <v>40</v>
      </c>
      <c r="C696" s="19" t="s">
        <v>2626</v>
      </c>
      <c r="D696" s="19" t="s">
        <v>2763</v>
      </c>
      <c r="E696" s="19" t="s">
        <v>2769</v>
      </c>
      <c r="F696" s="20"/>
      <c r="G696" s="21" t="s">
        <v>2770</v>
      </c>
      <c r="H696" s="18" t="s">
        <v>51</v>
      </c>
      <c r="I696" s="19" t="s">
        <v>83</v>
      </c>
      <c r="J696" s="210"/>
      <c r="K696" s="250"/>
      <c r="L696" s="251"/>
      <c r="M696" s="252"/>
      <c r="N696" s="253"/>
      <c r="O696" s="252"/>
      <c r="P696" s="254"/>
      <c r="Q696" s="418"/>
      <c r="R696" s="419"/>
      <c r="S696" s="420"/>
      <c r="T696" s="421"/>
      <c r="U696" s="420"/>
      <c r="V696" s="422"/>
      <c r="W696" s="597"/>
      <c r="X696" s="598"/>
      <c r="Y696" s="599"/>
      <c r="Z696" s="600"/>
      <c r="AA696" s="599"/>
      <c r="AB696" s="601"/>
      <c r="AC696" s="781"/>
      <c r="AD696" s="782"/>
      <c r="AE696" s="783"/>
      <c r="AF696" s="784"/>
      <c r="AG696" s="783"/>
      <c r="AH696" s="957"/>
      <c r="AI696" s="913" t="s">
        <v>2771</v>
      </c>
    </row>
    <row r="697" spans="1:35" ht="39" x14ac:dyDescent="0.25">
      <c r="A697" s="18" t="s">
        <v>2772</v>
      </c>
      <c r="B697" s="19" t="s">
        <v>40</v>
      </c>
      <c r="C697" s="19" t="s">
        <v>2626</v>
      </c>
      <c r="D697" s="19" t="s">
        <v>2763</v>
      </c>
      <c r="E697" s="19" t="s">
        <v>2686</v>
      </c>
      <c r="F697" s="20"/>
      <c r="G697" s="21" t="s">
        <v>2773</v>
      </c>
      <c r="H697" s="18" t="s">
        <v>51</v>
      </c>
      <c r="I697" s="19" t="s">
        <v>83</v>
      </c>
      <c r="J697" s="210"/>
      <c r="K697" s="250"/>
      <c r="L697" s="251"/>
      <c r="M697" s="252"/>
      <c r="N697" s="253"/>
      <c r="O697" s="252"/>
      <c r="P697" s="254"/>
      <c r="Q697" s="418"/>
      <c r="R697" s="419"/>
      <c r="S697" s="420"/>
      <c r="T697" s="421"/>
      <c r="U697" s="420"/>
      <c r="V697" s="422"/>
      <c r="W697" s="597"/>
      <c r="X697" s="598"/>
      <c r="Y697" s="599"/>
      <c r="Z697" s="600"/>
      <c r="AA697" s="599"/>
      <c r="AB697" s="601"/>
      <c r="AC697" s="781"/>
      <c r="AD697" s="782"/>
      <c r="AE697" s="783"/>
      <c r="AF697" s="784"/>
      <c r="AG697" s="783"/>
      <c r="AH697" s="957"/>
      <c r="AI697" s="913" t="s">
        <v>2774</v>
      </c>
    </row>
    <row r="698" spans="1:35" ht="39" x14ac:dyDescent="0.25">
      <c r="A698" s="18" t="s">
        <v>2775</v>
      </c>
      <c r="B698" s="19" t="s">
        <v>40</v>
      </c>
      <c r="C698" s="19" t="s">
        <v>2626</v>
      </c>
      <c r="D698" s="19" t="s">
        <v>2763</v>
      </c>
      <c r="E698" s="19" t="s">
        <v>2776</v>
      </c>
      <c r="F698" s="20"/>
      <c r="G698" s="21" t="s">
        <v>2777</v>
      </c>
      <c r="H698" s="18" t="s">
        <v>2778</v>
      </c>
      <c r="I698" s="19" t="s">
        <v>260</v>
      </c>
      <c r="J698" s="210"/>
      <c r="K698" s="250"/>
      <c r="L698" s="251"/>
      <c r="M698" s="252"/>
      <c r="N698" s="253"/>
      <c r="O698" s="252"/>
      <c r="P698" s="254"/>
      <c r="Q698" s="418"/>
      <c r="R698" s="419"/>
      <c r="S698" s="420"/>
      <c r="T698" s="421"/>
      <c r="U698" s="420"/>
      <c r="V698" s="422"/>
      <c r="W698" s="597"/>
      <c r="X698" s="598"/>
      <c r="Y698" s="599"/>
      <c r="Z698" s="600"/>
      <c r="AA698" s="599"/>
      <c r="AB698" s="601"/>
      <c r="AC698" s="781"/>
      <c r="AD698" s="782"/>
      <c r="AE698" s="783"/>
      <c r="AF698" s="784"/>
      <c r="AG698" s="783"/>
      <c r="AH698" s="957"/>
      <c r="AI698" s="913" t="s">
        <v>2779</v>
      </c>
    </row>
    <row r="699" spans="1:35" ht="39" x14ac:dyDescent="0.25">
      <c r="A699" s="18" t="s">
        <v>2780</v>
      </c>
      <c r="B699" s="19" t="s">
        <v>40</v>
      </c>
      <c r="C699" s="19" t="s">
        <v>2626</v>
      </c>
      <c r="D699" s="19" t="s">
        <v>2763</v>
      </c>
      <c r="E699" s="19" t="s">
        <v>2699</v>
      </c>
      <c r="F699" s="20"/>
      <c r="G699" s="21" t="s">
        <v>2781</v>
      </c>
      <c r="H699" s="18" t="s">
        <v>2782</v>
      </c>
      <c r="I699" s="19" t="s">
        <v>432</v>
      </c>
      <c r="J699" s="210"/>
      <c r="K699" s="250"/>
      <c r="L699" s="251"/>
      <c r="M699" s="252"/>
      <c r="N699" s="253"/>
      <c r="O699" s="252"/>
      <c r="P699" s="254"/>
      <c r="Q699" s="418"/>
      <c r="R699" s="419"/>
      <c r="S699" s="420"/>
      <c r="T699" s="421"/>
      <c r="U699" s="420"/>
      <c r="V699" s="422"/>
      <c r="W699" s="597"/>
      <c r="X699" s="598"/>
      <c r="Y699" s="599"/>
      <c r="Z699" s="600"/>
      <c r="AA699" s="599"/>
      <c r="AB699" s="601"/>
      <c r="AC699" s="781"/>
      <c r="AD699" s="782"/>
      <c r="AE699" s="783"/>
      <c r="AF699" s="784"/>
      <c r="AG699" s="783"/>
      <c r="AH699" s="957"/>
      <c r="AI699" s="913"/>
    </row>
    <row r="700" spans="1:35" ht="39" x14ac:dyDescent="0.25">
      <c r="A700" s="18" t="s">
        <v>2783</v>
      </c>
      <c r="B700" s="19" t="s">
        <v>40</v>
      </c>
      <c r="C700" s="19" t="s">
        <v>2626</v>
      </c>
      <c r="D700" s="19" t="s">
        <v>2763</v>
      </c>
      <c r="E700" s="19" t="s">
        <v>2702</v>
      </c>
      <c r="F700" s="20"/>
      <c r="G700" s="21" t="s">
        <v>2784</v>
      </c>
      <c r="H700" s="18" t="s">
        <v>51</v>
      </c>
      <c r="I700" s="19" t="s">
        <v>83</v>
      </c>
      <c r="J700" s="210"/>
      <c r="K700" s="250"/>
      <c r="L700" s="251"/>
      <c r="M700" s="252"/>
      <c r="N700" s="253"/>
      <c r="O700" s="252"/>
      <c r="P700" s="254"/>
      <c r="Q700" s="418"/>
      <c r="R700" s="419"/>
      <c r="S700" s="420"/>
      <c r="T700" s="421"/>
      <c r="U700" s="420"/>
      <c r="V700" s="422"/>
      <c r="W700" s="597"/>
      <c r="X700" s="598"/>
      <c r="Y700" s="599"/>
      <c r="Z700" s="600"/>
      <c r="AA700" s="599"/>
      <c r="AB700" s="601"/>
      <c r="AC700" s="781"/>
      <c r="AD700" s="782"/>
      <c r="AE700" s="783"/>
      <c r="AF700" s="784"/>
      <c r="AG700" s="783"/>
      <c r="AH700" s="957"/>
      <c r="AI700" s="913"/>
    </row>
    <row r="701" spans="1:35" ht="39" x14ac:dyDescent="0.25">
      <c r="A701" s="18" t="s">
        <v>2785</v>
      </c>
      <c r="B701" s="19" t="s">
        <v>40</v>
      </c>
      <c r="C701" s="19" t="s">
        <v>2626</v>
      </c>
      <c r="D701" s="19" t="s">
        <v>2763</v>
      </c>
      <c r="E701" s="19" t="s">
        <v>1077</v>
      </c>
      <c r="F701" s="20"/>
      <c r="G701" s="21" t="s">
        <v>2786</v>
      </c>
      <c r="H701" s="18" t="s">
        <v>2782</v>
      </c>
      <c r="I701" s="19" t="s">
        <v>432</v>
      </c>
      <c r="J701" s="210"/>
      <c r="K701" s="250"/>
      <c r="L701" s="251"/>
      <c r="M701" s="252"/>
      <c r="N701" s="253"/>
      <c r="O701" s="252"/>
      <c r="P701" s="254"/>
      <c r="Q701" s="418"/>
      <c r="R701" s="419"/>
      <c r="S701" s="420"/>
      <c r="T701" s="421"/>
      <c r="U701" s="420"/>
      <c r="V701" s="422"/>
      <c r="W701" s="597"/>
      <c r="X701" s="598"/>
      <c r="Y701" s="599"/>
      <c r="Z701" s="600"/>
      <c r="AA701" s="599"/>
      <c r="AB701" s="601"/>
      <c r="AC701" s="781"/>
      <c r="AD701" s="782"/>
      <c r="AE701" s="783"/>
      <c r="AF701" s="784"/>
      <c r="AG701" s="783"/>
      <c r="AH701" s="957"/>
      <c r="AI701" s="913" t="s">
        <v>2787</v>
      </c>
    </row>
    <row r="702" spans="1:35" ht="39" x14ac:dyDescent="0.25">
      <c r="A702" s="18" t="s">
        <v>2788</v>
      </c>
      <c r="B702" s="19" t="s">
        <v>40</v>
      </c>
      <c r="C702" s="19" t="s">
        <v>2626</v>
      </c>
      <c r="D702" s="19" t="s">
        <v>2763</v>
      </c>
      <c r="E702" s="19" t="s">
        <v>1515</v>
      </c>
      <c r="F702" s="20"/>
      <c r="G702" s="21" t="s">
        <v>2789</v>
      </c>
      <c r="H702" s="18" t="s">
        <v>2790</v>
      </c>
      <c r="I702" s="19" t="s">
        <v>432</v>
      </c>
      <c r="J702" s="210"/>
      <c r="K702" s="250"/>
      <c r="L702" s="251"/>
      <c r="M702" s="252"/>
      <c r="N702" s="253"/>
      <c r="O702" s="252"/>
      <c r="P702" s="254"/>
      <c r="Q702" s="418"/>
      <c r="R702" s="419"/>
      <c r="S702" s="420"/>
      <c r="T702" s="421"/>
      <c r="U702" s="420"/>
      <c r="V702" s="422"/>
      <c r="W702" s="597"/>
      <c r="X702" s="598"/>
      <c r="Y702" s="599"/>
      <c r="Z702" s="600"/>
      <c r="AA702" s="599"/>
      <c r="AB702" s="601"/>
      <c r="AC702" s="781"/>
      <c r="AD702" s="782"/>
      <c r="AE702" s="783"/>
      <c r="AF702" s="784"/>
      <c r="AG702" s="783"/>
      <c r="AH702" s="957"/>
      <c r="AI702" s="913" t="s">
        <v>2791</v>
      </c>
    </row>
    <row r="703" spans="1:35" ht="39" x14ac:dyDescent="0.25">
      <c r="A703" s="18" t="s">
        <v>2792</v>
      </c>
      <c r="B703" s="19" t="s">
        <v>40</v>
      </c>
      <c r="C703" s="19" t="s">
        <v>2626</v>
      </c>
      <c r="D703" s="19" t="s">
        <v>2763</v>
      </c>
      <c r="E703" s="19" t="s">
        <v>814</v>
      </c>
      <c r="F703" s="20"/>
      <c r="G703" s="21" t="s">
        <v>2793</v>
      </c>
      <c r="H703" s="18" t="s">
        <v>2794</v>
      </c>
      <c r="I703" s="19" t="s">
        <v>1519</v>
      </c>
      <c r="J703" s="210"/>
      <c r="K703" s="250"/>
      <c r="L703" s="251"/>
      <c r="M703" s="252"/>
      <c r="N703" s="253"/>
      <c r="O703" s="252"/>
      <c r="P703" s="254"/>
      <c r="Q703" s="418"/>
      <c r="R703" s="419"/>
      <c r="S703" s="420"/>
      <c r="T703" s="421"/>
      <c r="U703" s="420"/>
      <c r="V703" s="422"/>
      <c r="W703" s="597"/>
      <c r="X703" s="598"/>
      <c r="Y703" s="599"/>
      <c r="Z703" s="600"/>
      <c r="AA703" s="599"/>
      <c r="AB703" s="601"/>
      <c r="AC703" s="781"/>
      <c r="AD703" s="782"/>
      <c r="AE703" s="783"/>
      <c r="AF703" s="784"/>
      <c r="AG703" s="783"/>
      <c r="AH703" s="957"/>
      <c r="AI703" s="913" t="s">
        <v>2795</v>
      </c>
    </row>
    <row r="704" spans="1:35" ht="39" x14ac:dyDescent="0.25">
      <c r="A704" s="18" t="s">
        <v>2796</v>
      </c>
      <c r="B704" s="19" t="s">
        <v>40</v>
      </c>
      <c r="C704" s="19" t="s">
        <v>2626</v>
      </c>
      <c r="D704" s="19" t="s">
        <v>2763</v>
      </c>
      <c r="E704" s="19" t="s">
        <v>2797</v>
      </c>
      <c r="F704" s="20"/>
      <c r="G704" s="21" t="s">
        <v>2798</v>
      </c>
      <c r="H704" s="18" t="s">
        <v>2799</v>
      </c>
      <c r="I704" s="19" t="s">
        <v>432</v>
      </c>
      <c r="J704" s="210"/>
      <c r="K704" s="250"/>
      <c r="L704" s="251"/>
      <c r="M704" s="252"/>
      <c r="N704" s="253"/>
      <c r="O704" s="252"/>
      <c r="P704" s="254"/>
      <c r="Q704" s="418"/>
      <c r="R704" s="419"/>
      <c r="S704" s="420"/>
      <c r="T704" s="421"/>
      <c r="U704" s="420"/>
      <c r="V704" s="422"/>
      <c r="W704" s="597"/>
      <c r="X704" s="598"/>
      <c r="Y704" s="599"/>
      <c r="Z704" s="600"/>
      <c r="AA704" s="599"/>
      <c r="AB704" s="601"/>
      <c r="AC704" s="781"/>
      <c r="AD704" s="782"/>
      <c r="AE704" s="783"/>
      <c r="AF704" s="784"/>
      <c r="AG704" s="783"/>
      <c r="AH704" s="957"/>
      <c r="AI704" s="913" t="s">
        <v>2800</v>
      </c>
    </row>
    <row r="705" spans="1:35" ht="51.75" x14ac:dyDescent="0.25">
      <c r="A705" s="110" t="s">
        <v>2801</v>
      </c>
      <c r="B705" s="111" t="s">
        <v>40</v>
      </c>
      <c r="C705" s="111" t="s">
        <v>2626</v>
      </c>
      <c r="D705" s="111" t="s">
        <v>2763</v>
      </c>
      <c r="E705" s="111"/>
      <c r="F705" s="112" t="s">
        <v>2802</v>
      </c>
      <c r="G705" s="114" t="s">
        <v>1262</v>
      </c>
      <c r="H705" s="110"/>
      <c r="I705" s="111"/>
      <c r="J705" s="210"/>
      <c r="K705" s="250"/>
      <c r="L705" s="251"/>
      <c r="M705" s="252"/>
      <c r="N705" s="253"/>
      <c r="O705" s="252"/>
      <c r="P705" s="254"/>
      <c r="Q705" s="418"/>
      <c r="R705" s="419"/>
      <c r="S705" s="420"/>
      <c r="T705" s="421"/>
      <c r="U705" s="420"/>
      <c r="V705" s="422"/>
      <c r="W705" s="597"/>
      <c r="X705" s="598"/>
      <c r="Y705" s="599"/>
      <c r="Z705" s="600"/>
      <c r="AA705" s="599"/>
      <c r="AB705" s="601"/>
      <c r="AC705" s="781"/>
      <c r="AD705" s="782"/>
      <c r="AE705" s="783"/>
      <c r="AF705" s="784"/>
      <c r="AG705" s="783"/>
      <c r="AH705" s="957"/>
      <c r="AI705" s="931"/>
    </row>
    <row r="706" spans="1:35" ht="77.25" x14ac:dyDescent="0.25">
      <c r="A706" s="110" t="s">
        <v>2803</v>
      </c>
      <c r="B706" s="111" t="s">
        <v>40</v>
      </c>
      <c r="C706" s="111" t="s">
        <v>2626</v>
      </c>
      <c r="D706" s="111" t="s">
        <v>2763</v>
      </c>
      <c r="E706" s="111"/>
      <c r="F706" s="112" t="s">
        <v>2804</v>
      </c>
      <c r="G706" s="114" t="s">
        <v>1262</v>
      </c>
      <c r="H706" s="110"/>
      <c r="I706" s="111"/>
      <c r="J706" s="210"/>
      <c r="K706" s="250"/>
      <c r="L706" s="251"/>
      <c r="M706" s="252"/>
      <c r="N706" s="253"/>
      <c r="O706" s="252"/>
      <c r="P706" s="254"/>
      <c r="Q706" s="418"/>
      <c r="R706" s="419"/>
      <c r="S706" s="420"/>
      <c r="T706" s="421"/>
      <c r="U706" s="420"/>
      <c r="V706" s="422"/>
      <c r="W706" s="597"/>
      <c r="X706" s="598"/>
      <c r="Y706" s="599"/>
      <c r="Z706" s="600"/>
      <c r="AA706" s="599"/>
      <c r="AB706" s="601"/>
      <c r="AC706" s="781"/>
      <c r="AD706" s="782"/>
      <c r="AE706" s="783"/>
      <c r="AF706" s="784"/>
      <c r="AG706" s="783"/>
      <c r="AH706" s="957"/>
      <c r="AI706" s="931"/>
    </row>
    <row r="707" spans="1:35" ht="90" x14ac:dyDescent="0.25">
      <c r="A707" s="110" t="s">
        <v>2805</v>
      </c>
      <c r="B707" s="111" t="s">
        <v>40</v>
      </c>
      <c r="C707" s="111" t="s">
        <v>2626</v>
      </c>
      <c r="D707" s="111" t="s">
        <v>2806</v>
      </c>
      <c r="E707" s="111"/>
      <c r="F707" s="112" t="s">
        <v>2807</v>
      </c>
      <c r="G707" s="114" t="s">
        <v>1262</v>
      </c>
      <c r="H707" s="110"/>
      <c r="I707" s="111"/>
      <c r="J707" s="210"/>
      <c r="K707" s="250"/>
      <c r="L707" s="251"/>
      <c r="M707" s="252"/>
      <c r="N707" s="253"/>
      <c r="O707" s="252"/>
      <c r="P707" s="254"/>
      <c r="Q707" s="418"/>
      <c r="R707" s="419"/>
      <c r="S707" s="420"/>
      <c r="T707" s="421"/>
      <c r="U707" s="420"/>
      <c r="V707" s="422"/>
      <c r="W707" s="597"/>
      <c r="X707" s="598"/>
      <c r="Y707" s="599"/>
      <c r="Z707" s="600"/>
      <c r="AA707" s="599"/>
      <c r="AB707" s="601"/>
      <c r="AC707" s="781"/>
      <c r="AD707" s="782"/>
      <c r="AE707" s="783"/>
      <c r="AF707" s="784"/>
      <c r="AG707" s="783"/>
      <c r="AH707" s="957"/>
      <c r="AI707" s="931"/>
    </row>
    <row r="708" spans="1:35" ht="51.75" x14ac:dyDescent="0.25">
      <c r="A708" s="110" t="s">
        <v>2808</v>
      </c>
      <c r="B708" s="111" t="s">
        <v>40</v>
      </c>
      <c r="C708" s="111" t="s">
        <v>2626</v>
      </c>
      <c r="D708" s="111" t="s">
        <v>2806</v>
      </c>
      <c r="E708" s="111"/>
      <c r="F708" s="112" t="s">
        <v>2809</v>
      </c>
      <c r="G708" s="114" t="s">
        <v>1262</v>
      </c>
      <c r="H708" s="110"/>
      <c r="I708" s="111"/>
      <c r="J708" s="210"/>
      <c r="K708" s="250"/>
      <c r="L708" s="251"/>
      <c r="M708" s="252"/>
      <c r="N708" s="253"/>
      <c r="O708" s="252"/>
      <c r="P708" s="254"/>
      <c r="Q708" s="418"/>
      <c r="R708" s="419"/>
      <c r="S708" s="420"/>
      <c r="T708" s="421"/>
      <c r="U708" s="420"/>
      <c r="V708" s="422"/>
      <c r="W708" s="597"/>
      <c r="X708" s="598"/>
      <c r="Y708" s="599"/>
      <c r="Z708" s="600"/>
      <c r="AA708" s="599"/>
      <c r="AB708" s="601"/>
      <c r="AC708" s="781"/>
      <c r="AD708" s="782"/>
      <c r="AE708" s="783"/>
      <c r="AF708" s="784"/>
      <c r="AG708" s="783"/>
      <c r="AH708" s="957"/>
      <c r="AI708" s="931"/>
    </row>
    <row r="709" spans="1:35" ht="45" x14ac:dyDescent="0.25">
      <c r="A709" s="27" t="s">
        <v>2810</v>
      </c>
      <c r="B709" s="28" t="s">
        <v>40</v>
      </c>
      <c r="C709" s="28" t="s">
        <v>2626</v>
      </c>
      <c r="D709" s="28" t="s">
        <v>2763</v>
      </c>
      <c r="E709" s="28"/>
      <c r="F709" s="29" t="s">
        <v>2763</v>
      </c>
      <c r="G709" s="30" t="s">
        <v>2763</v>
      </c>
      <c r="H709" s="27" t="s">
        <v>2811</v>
      </c>
      <c r="I709" s="28" t="s">
        <v>556</v>
      </c>
      <c r="J709" s="211"/>
      <c r="K709" s="261">
        <v>1175</v>
      </c>
      <c r="L709" s="262" t="s">
        <v>2812</v>
      </c>
      <c r="M709" s="263">
        <f>(1051917/2000)-K709</f>
        <v>-649.04150000000004</v>
      </c>
      <c r="N709" s="264">
        <f>895/2000</f>
        <v>0.44750000000000001</v>
      </c>
      <c r="O709" s="263">
        <f>(1051917/1000)-K709</f>
        <v>-123.08300000000008</v>
      </c>
      <c r="P709" s="265">
        <f>895/1000</f>
        <v>0.89500000000000002</v>
      </c>
      <c r="Q709" s="431">
        <v>724</v>
      </c>
      <c r="R709" s="432" t="s">
        <v>2813</v>
      </c>
      <c r="S709" s="433">
        <f>(578592/2000)-Q709</f>
        <v>-434.70400000000001</v>
      </c>
      <c r="T709" s="434">
        <f>799/2000</f>
        <v>0.39950000000000002</v>
      </c>
      <c r="U709" s="433">
        <f>(578592/1000)-Q709</f>
        <v>-145.40800000000002</v>
      </c>
      <c r="V709" s="435">
        <f>799/1000</f>
        <v>0.79900000000000004</v>
      </c>
      <c r="W709" s="611">
        <v>138</v>
      </c>
      <c r="X709" s="612" t="s">
        <v>2811</v>
      </c>
      <c r="Y709" s="621">
        <f>(189789/2000)-W709</f>
        <v>-43.105500000000006</v>
      </c>
      <c r="Z709" s="622">
        <f>1375/2000</f>
        <v>0.6875</v>
      </c>
      <c r="AA709" s="621">
        <f>(189789/1000)-W709</f>
        <v>51.788999999999987</v>
      </c>
      <c r="AB709" s="623">
        <f>1375/1000</f>
        <v>1.375</v>
      </c>
      <c r="AC709" s="792">
        <v>313</v>
      </c>
      <c r="AD709" s="793" t="s">
        <v>2814</v>
      </c>
      <c r="AE709" s="794">
        <f>(263509/2000)-AC709</f>
        <v>-181.24549999999999</v>
      </c>
      <c r="AF709" s="795">
        <f>842/2000</f>
        <v>0.42099999999999999</v>
      </c>
      <c r="AG709" s="794">
        <f>(263509/1000)-AC709</f>
        <v>-49.490999999999985</v>
      </c>
      <c r="AH709" s="959">
        <f>842/1000</f>
        <v>0.84199999999999997</v>
      </c>
      <c r="AI709" s="915" t="s">
        <v>2815</v>
      </c>
    </row>
    <row r="710" spans="1:35" ht="45" x14ac:dyDescent="0.25">
      <c r="A710" s="41" t="s">
        <v>2816</v>
      </c>
      <c r="B710" s="42" t="s">
        <v>40</v>
      </c>
      <c r="C710" s="42" t="s">
        <v>2626</v>
      </c>
      <c r="D710" s="42" t="s">
        <v>2817</v>
      </c>
      <c r="E710" s="42"/>
      <c r="F710" s="43" t="s">
        <v>2817</v>
      </c>
      <c r="G710" s="44" t="s">
        <v>2817</v>
      </c>
      <c r="H710" s="41" t="s">
        <v>1343</v>
      </c>
      <c r="I710" s="42" t="s">
        <v>1272</v>
      </c>
      <c r="J710" s="211"/>
      <c r="K710" s="261">
        <v>500</v>
      </c>
      <c r="L710" s="262" t="s">
        <v>2818</v>
      </c>
      <c r="M710" s="293" t="s">
        <v>331</v>
      </c>
      <c r="N710" s="343" t="s">
        <v>61</v>
      </c>
      <c r="O710" s="293" t="s">
        <v>331</v>
      </c>
      <c r="P710" s="294" t="s">
        <v>61</v>
      </c>
      <c r="Q710" s="431">
        <v>241</v>
      </c>
      <c r="R710" s="432" t="s">
        <v>2819</v>
      </c>
      <c r="S710" s="465" t="s">
        <v>331</v>
      </c>
      <c r="T710" s="518" t="s">
        <v>61</v>
      </c>
      <c r="U710" s="465" t="s">
        <v>331</v>
      </c>
      <c r="V710" s="466" t="s">
        <v>61</v>
      </c>
      <c r="W710" s="611">
        <v>65</v>
      </c>
      <c r="X710" s="612" t="s">
        <v>2820</v>
      </c>
      <c r="Y710" s="652" t="s">
        <v>331</v>
      </c>
      <c r="Z710" s="702" t="s">
        <v>61</v>
      </c>
      <c r="AA710" s="652" t="s">
        <v>331</v>
      </c>
      <c r="AB710" s="616" t="s">
        <v>61</v>
      </c>
      <c r="AC710" s="792">
        <v>194</v>
      </c>
      <c r="AD710" s="793" t="s">
        <v>2821</v>
      </c>
      <c r="AE710" s="820" t="s">
        <v>331</v>
      </c>
      <c r="AF710" s="860" t="s">
        <v>61</v>
      </c>
      <c r="AG710" s="820" t="s">
        <v>331</v>
      </c>
      <c r="AH710" s="960" t="s">
        <v>61</v>
      </c>
      <c r="AI710" s="918" t="s">
        <v>2822</v>
      </c>
    </row>
    <row r="711" spans="1:35" ht="51.75" x14ac:dyDescent="0.25">
      <c r="A711" s="118" t="s">
        <v>2823</v>
      </c>
      <c r="B711" s="119" t="s">
        <v>40</v>
      </c>
      <c r="C711" s="119" t="s">
        <v>2626</v>
      </c>
      <c r="D711" s="119" t="s">
        <v>2824</v>
      </c>
      <c r="E711" s="119"/>
      <c r="F711" s="112" t="s">
        <v>2825</v>
      </c>
      <c r="G711" s="184" t="s">
        <v>1262</v>
      </c>
      <c r="H711" s="118"/>
      <c r="I711" s="119"/>
      <c r="J711" s="214"/>
      <c r="K711" s="289">
        <v>2</v>
      </c>
      <c r="L711" s="290" t="s">
        <v>2826</v>
      </c>
      <c r="M711" s="291" t="s">
        <v>331</v>
      </c>
      <c r="N711" s="381" t="s">
        <v>61</v>
      </c>
      <c r="O711" s="291" t="s">
        <v>331</v>
      </c>
      <c r="P711" s="292" t="s">
        <v>61</v>
      </c>
      <c r="Q711" s="423">
        <v>2</v>
      </c>
      <c r="R711" s="424" t="s">
        <v>2337</v>
      </c>
      <c r="S711" s="463" t="s">
        <v>331</v>
      </c>
      <c r="T711" s="561" t="s">
        <v>61</v>
      </c>
      <c r="U711" s="463" t="s">
        <v>331</v>
      </c>
      <c r="V711" s="464" t="s">
        <v>61</v>
      </c>
      <c r="W711" s="602">
        <v>0</v>
      </c>
      <c r="X711" s="603" t="s">
        <v>61</v>
      </c>
      <c r="Y711" s="650" t="s">
        <v>331</v>
      </c>
      <c r="Z711" s="747" t="s">
        <v>61</v>
      </c>
      <c r="AA711" s="650" t="s">
        <v>331</v>
      </c>
      <c r="AB711" s="651" t="s">
        <v>61</v>
      </c>
      <c r="AC711" s="785">
        <v>0</v>
      </c>
      <c r="AD711" s="786" t="s">
        <v>61</v>
      </c>
      <c r="AE711" s="819" t="s">
        <v>331</v>
      </c>
      <c r="AF711" s="895" t="s">
        <v>61</v>
      </c>
      <c r="AG711" s="819" t="s">
        <v>331</v>
      </c>
      <c r="AH711" s="969" t="s">
        <v>61</v>
      </c>
      <c r="AI711" s="932"/>
    </row>
    <row r="712" spans="1:35" ht="39" x14ac:dyDescent="0.25">
      <c r="A712" s="162" t="s">
        <v>2827</v>
      </c>
      <c r="B712" s="163" t="s">
        <v>40</v>
      </c>
      <c r="C712" s="163" t="s">
        <v>2626</v>
      </c>
      <c r="D712" s="163" t="s">
        <v>2824</v>
      </c>
      <c r="E712" s="163"/>
      <c r="F712" s="39" t="s">
        <v>2824</v>
      </c>
      <c r="G712" s="164" t="s">
        <v>2824</v>
      </c>
      <c r="H712" s="162"/>
      <c r="I712" s="163"/>
      <c r="J712" s="214"/>
      <c r="K712" s="289">
        <v>12</v>
      </c>
      <c r="L712" s="290" t="s">
        <v>2828</v>
      </c>
      <c r="M712" s="291" t="s">
        <v>331</v>
      </c>
      <c r="N712" s="381" t="s">
        <v>61</v>
      </c>
      <c r="O712" s="291" t="s">
        <v>331</v>
      </c>
      <c r="P712" s="292" t="s">
        <v>61</v>
      </c>
      <c r="Q712" s="423">
        <v>5</v>
      </c>
      <c r="R712" s="424" t="s">
        <v>154</v>
      </c>
      <c r="S712" s="463" t="s">
        <v>331</v>
      </c>
      <c r="T712" s="561" t="s">
        <v>61</v>
      </c>
      <c r="U712" s="463" t="s">
        <v>331</v>
      </c>
      <c r="V712" s="464" t="s">
        <v>61</v>
      </c>
      <c r="W712" s="607">
        <v>2</v>
      </c>
      <c r="X712" s="603" t="s">
        <v>2829</v>
      </c>
      <c r="Y712" s="650" t="s">
        <v>331</v>
      </c>
      <c r="Z712" s="747" t="s">
        <v>61</v>
      </c>
      <c r="AA712" s="650" t="s">
        <v>331</v>
      </c>
      <c r="AB712" s="651" t="s">
        <v>61</v>
      </c>
      <c r="AC712" s="789">
        <v>5</v>
      </c>
      <c r="AD712" s="786" t="s">
        <v>2191</v>
      </c>
      <c r="AE712" s="819" t="s">
        <v>331</v>
      </c>
      <c r="AF712" s="895" t="s">
        <v>61</v>
      </c>
      <c r="AG712" s="819" t="s">
        <v>331</v>
      </c>
      <c r="AH712" s="969" t="s">
        <v>61</v>
      </c>
      <c r="AI712" s="941"/>
    </row>
    <row r="713" spans="1:35" ht="60" x14ac:dyDescent="0.25">
      <c r="A713" s="41" t="s">
        <v>2830</v>
      </c>
      <c r="B713" s="42" t="s">
        <v>40</v>
      </c>
      <c r="C713" s="42" t="s">
        <v>2626</v>
      </c>
      <c r="D713" s="42" t="s">
        <v>2824</v>
      </c>
      <c r="E713" s="42"/>
      <c r="F713" s="43" t="s">
        <v>2824</v>
      </c>
      <c r="G713" s="44" t="s">
        <v>2824</v>
      </c>
      <c r="H713" s="41" t="s">
        <v>2831</v>
      </c>
      <c r="I713" s="42" t="s">
        <v>1272</v>
      </c>
      <c r="J713" s="211"/>
      <c r="K713" s="261">
        <v>14</v>
      </c>
      <c r="L713" s="262" t="s">
        <v>2832</v>
      </c>
      <c r="M713" s="293" t="s">
        <v>331</v>
      </c>
      <c r="N713" s="343" t="s">
        <v>61</v>
      </c>
      <c r="O713" s="293" t="s">
        <v>331</v>
      </c>
      <c r="P713" s="294" t="s">
        <v>61</v>
      </c>
      <c r="Q713" s="431">
        <v>7</v>
      </c>
      <c r="R713" s="432" t="s">
        <v>319</v>
      </c>
      <c r="S713" s="465" t="s">
        <v>331</v>
      </c>
      <c r="T713" s="518" t="s">
        <v>61</v>
      </c>
      <c r="U713" s="465" t="s">
        <v>331</v>
      </c>
      <c r="V713" s="466" t="s">
        <v>61</v>
      </c>
      <c r="W713" s="611">
        <v>2</v>
      </c>
      <c r="X713" s="612" t="s">
        <v>2829</v>
      </c>
      <c r="Y713" s="652" t="s">
        <v>331</v>
      </c>
      <c r="Z713" s="702" t="s">
        <v>61</v>
      </c>
      <c r="AA713" s="652" t="s">
        <v>331</v>
      </c>
      <c r="AB713" s="616" t="s">
        <v>61</v>
      </c>
      <c r="AC713" s="792">
        <v>5</v>
      </c>
      <c r="AD713" s="793" t="s">
        <v>2191</v>
      </c>
      <c r="AE713" s="820" t="s">
        <v>331</v>
      </c>
      <c r="AF713" s="860" t="s">
        <v>61</v>
      </c>
      <c r="AG713" s="820" t="s">
        <v>331</v>
      </c>
      <c r="AH713" s="960" t="s">
        <v>61</v>
      </c>
      <c r="AI713" s="918" t="s">
        <v>2833</v>
      </c>
    </row>
    <row r="714" spans="1:35" ht="64.5" x14ac:dyDescent="0.25">
      <c r="A714" s="32" t="s">
        <v>2834</v>
      </c>
      <c r="B714" s="33" t="s">
        <v>40</v>
      </c>
      <c r="C714" s="33" t="s">
        <v>2626</v>
      </c>
      <c r="D714" s="33" t="s">
        <v>2835</v>
      </c>
      <c r="E714" s="33"/>
      <c r="F714" s="34" t="s">
        <v>1291</v>
      </c>
      <c r="G714" s="35" t="s">
        <v>2835</v>
      </c>
      <c r="H714" s="32" t="s">
        <v>2836</v>
      </c>
      <c r="I714" s="33" t="s">
        <v>1272</v>
      </c>
      <c r="J714" s="210"/>
      <c r="K714" s="250"/>
      <c r="L714" s="251"/>
      <c r="M714" s="252"/>
      <c r="N714" s="253"/>
      <c r="O714" s="252"/>
      <c r="P714" s="254"/>
      <c r="Q714" s="418"/>
      <c r="R714" s="419"/>
      <c r="S714" s="420"/>
      <c r="T714" s="421"/>
      <c r="U714" s="420"/>
      <c r="V714" s="422"/>
      <c r="W714" s="597"/>
      <c r="X714" s="598"/>
      <c r="Y714" s="599"/>
      <c r="Z714" s="600"/>
      <c r="AA714" s="599"/>
      <c r="AB714" s="601"/>
      <c r="AC714" s="781"/>
      <c r="AD714" s="782"/>
      <c r="AE714" s="783"/>
      <c r="AF714" s="784"/>
      <c r="AG714" s="783"/>
      <c r="AH714" s="957"/>
      <c r="AI714" s="916" t="s">
        <v>2759</v>
      </c>
    </row>
    <row r="715" spans="1:35" ht="64.5" x14ac:dyDescent="0.25">
      <c r="A715" s="32" t="s">
        <v>2837</v>
      </c>
      <c r="B715" s="33" t="s">
        <v>40</v>
      </c>
      <c r="C715" s="33" t="s">
        <v>2626</v>
      </c>
      <c r="D715" s="33" t="s">
        <v>2838</v>
      </c>
      <c r="E715" s="33"/>
      <c r="F715" s="34" t="s">
        <v>1291</v>
      </c>
      <c r="G715" s="35" t="s">
        <v>2838</v>
      </c>
      <c r="H715" s="32" t="s">
        <v>1853</v>
      </c>
      <c r="I715" s="33" t="s">
        <v>1272</v>
      </c>
      <c r="J715" s="210"/>
      <c r="K715" s="250"/>
      <c r="L715" s="251"/>
      <c r="M715" s="252"/>
      <c r="N715" s="253"/>
      <c r="O715" s="252"/>
      <c r="P715" s="254"/>
      <c r="Q715" s="418"/>
      <c r="R715" s="419"/>
      <c r="S715" s="420"/>
      <c r="T715" s="421"/>
      <c r="U715" s="420"/>
      <c r="V715" s="422"/>
      <c r="W715" s="597"/>
      <c r="X715" s="598"/>
      <c r="Y715" s="599"/>
      <c r="Z715" s="600"/>
      <c r="AA715" s="599"/>
      <c r="AB715" s="601"/>
      <c r="AC715" s="781"/>
      <c r="AD715" s="782"/>
      <c r="AE715" s="783"/>
      <c r="AF715" s="784"/>
      <c r="AG715" s="783"/>
      <c r="AH715" s="957"/>
      <c r="AI715" s="916"/>
    </row>
    <row r="716" spans="1:35" ht="64.5" x14ac:dyDescent="0.25">
      <c r="A716" s="32" t="s">
        <v>2839</v>
      </c>
      <c r="B716" s="33" t="s">
        <v>40</v>
      </c>
      <c r="C716" s="33" t="s">
        <v>2626</v>
      </c>
      <c r="D716" s="33" t="s">
        <v>2840</v>
      </c>
      <c r="E716" s="33"/>
      <c r="F716" s="34" t="s">
        <v>1291</v>
      </c>
      <c r="G716" s="35" t="s">
        <v>2840</v>
      </c>
      <c r="H716" s="32" t="s">
        <v>2836</v>
      </c>
      <c r="I716" s="33" t="s">
        <v>1272</v>
      </c>
      <c r="J716" s="210"/>
      <c r="K716" s="250"/>
      <c r="L716" s="251"/>
      <c r="M716" s="252"/>
      <c r="N716" s="253"/>
      <c r="O716" s="252"/>
      <c r="P716" s="254"/>
      <c r="Q716" s="418"/>
      <c r="R716" s="419"/>
      <c r="S716" s="420"/>
      <c r="T716" s="421"/>
      <c r="U716" s="420"/>
      <c r="V716" s="422"/>
      <c r="W716" s="597"/>
      <c r="X716" s="598"/>
      <c r="Y716" s="599"/>
      <c r="Z716" s="600"/>
      <c r="AA716" s="599"/>
      <c r="AB716" s="601"/>
      <c r="AC716" s="781"/>
      <c r="AD716" s="782"/>
      <c r="AE716" s="783"/>
      <c r="AF716" s="784"/>
      <c r="AG716" s="783"/>
      <c r="AH716" s="957"/>
      <c r="AI716" s="916" t="s">
        <v>2841</v>
      </c>
    </row>
    <row r="717" spans="1:35" ht="64.5" x14ac:dyDescent="0.25">
      <c r="A717" s="32" t="s">
        <v>2842</v>
      </c>
      <c r="B717" s="33" t="s">
        <v>40</v>
      </c>
      <c r="C717" s="33" t="s">
        <v>2626</v>
      </c>
      <c r="D717" s="33" t="s">
        <v>2843</v>
      </c>
      <c r="E717" s="33"/>
      <c r="F717" s="34" t="s">
        <v>1291</v>
      </c>
      <c r="G717" s="35" t="s">
        <v>2843</v>
      </c>
      <c r="H717" s="32" t="s">
        <v>2844</v>
      </c>
      <c r="I717" s="33" t="s">
        <v>1272</v>
      </c>
      <c r="J717" s="210"/>
      <c r="K717" s="250"/>
      <c r="L717" s="251"/>
      <c r="M717" s="252"/>
      <c r="N717" s="253"/>
      <c r="O717" s="252"/>
      <c r="P717" s="254"/>
      <c r="Q717" s="418"/>
      <c r="R717" s="419"/>
      <c r="S717" s="420"/>
      <c r="T717" s="421"/>
      <c r="U717" s="420"/>
      <c r="V717" s="422"/>
      <c r="W717" s="597"/>
      <c r="X717" s="598"/>
      <c r="Y717" s="599"/>
      <c r="Z717" s="600"/>
      <c r="AA717" s="599"/>
      <c r="AB717" s="601"/>
      <c r="AC717" s="781"/>
      <c r="AD717" s="782"/>
      <c r="AE717" s="783"/>
      <c r="AF717" s="784"/>
      <c r="AG717" s="783"/>
      <c r="AH717" s="957"/>
      <c r="AI717" s="916" t="s">
        <v>2180</v>
      </c>
    </row>
    <row r="718" spans="1:35" ht="51.75" x14ac:dyDescent="0.25">
      <c r="A718" s="18" t="s">
        <v>2845</v>
      </c>
      <c r="B718" s="19" t="s">
        <v>40</v>
      </c>
      <c r="C718" s="19" t="s">
        <v>2626</v>
      </c>
      <c r="D718" s="19" t="s">
        <v>2846</v>
      </c>
      <c r="E718" s="19" t="s">
        <v>2847</v>
      </c>
      <c r="F718" s="20"/>
      <c r="G718" s="21" t="s">
        <v>2848</v>
      </c>
      <c r="H718" s="18" t="s">
        <v>2849</v>
      </c>
      <c r="I718" s="19" t="s">
        <v>1272</v>
      </c>
      <c r="J718" s="210"/>
      <c r="K718" s="250"/>
      <c r="L718" s="251"/>
      <c r="M718" s="252"/>
      <c r="N718" s="253"/>
      <c r="O718" s="252"/>
      <c r="P718" s="254"/>
      <c r="Q718" s="418"/>
      <c r="R718" s="419"/>
      <c r="S718" s="420"/>
      <c r="T718" s="421"/>
      <c r="U718" s="420"/>
      <c r="V718" s="422"/>
      <c r="W718" s="597"/>
      <c r="X718" s="598"/>
      <c r="Y718" s="599"/>
      <c r="Z718" s="600"/>
      <c r="AA718" s="599"/>
      <c r="AB718" s="601"/>
      <c r="AC718" s="781"/>
      <c r="AD718" s="782"/>
      <c r="AE718" s="783"/>
      <c r="AF718" s="784"/>
      <c r="AG718" s="783"/>
      <c r="AH718" s="957"/>
      <c r="AI718" s="913"/>
    </row>
    <row r="719" spans="1:35" ht="39" x14ac:dyDescent="0.25">
      <c r="A719" s="18" t="s">
        <v>2850</v>
      </c>
      <c r="B719" s="19" t="s">
        <v>40</v>
      </c>
      <c r="C719" s="19" t="s">
        <v>2626</v>
      </c>
      <c r="D719" s="19" t="s">
        <v>2846</v>
      </c>
      <c r="E719" s="19" t="s">
        <v>2851</v>
      </c>
      <c r="F719" s="20"/>
      <c r="G719" s="21" t="s">
        <v>2852</v>
      </c>
      <c r="H719" s="18" t="s">
        <v>2849</v>
      </c>
      <c r="I719" s="19" t="s">
        <v>1272</v>
      </c>
      <c r="J719" s="210"/>
      <c r="K719" s="250"/>
      <c r="L719" s="251"/>
      <c r="M719" s="252"/>
      <c r="N719" s="253"/>
      <c r="O719" s="252"/>
      <c r="P719" s="254"/>
      <c r="Q719" s="418"/>
      <c r="R719" s="419"/>
      <c r="S719" s="420"/>
      <c r="T719" s="421"/>
      <c r="U719" s="420"/>
      <c r="V719" s="422"/>
      <c r="W719" s="597"/>
      <c r="X719" s="598"/>
      <c r="Y719" s="599"/>
      <c r="Z719" s="600"/>
      <c r="AA719" s="599"/>
      <c r="AB719" s="601"/>
      <c r="AC719" s="781"/>
      <c r="AD719" s="782"/>
      <c r="AE719" s="783"/>
      <c r="AF719" s="784"/>
      <c r="AG719" s="783"/>
      <c r="AH719" s="957"/>
      <c r="AI719" s="913"/>
    </row>
    <row r="720" spans="1:35" ht="51.75" x14ac:dyDescent="0.25">
      <c r="A720" s="18" t="s">
        <v>2853</v>
      </c>
      <c r="B720" s="19" t="s">
        <v>40</v>
      </c>
      <c r="C720" s="19" t="s">
        <v>2626</v>
      </c>
      <c r="D720" s="19" t="s">
        <v>2846</v>
      </c>
      <c r="E720" s="19" t="s">
        <v>2854</v>
      </c>
      <c r="F720" s="20"/>
      <c r="G720" s="21" t="s">
        <v>2855</v>
      </c>
      <c r="H720" s="18" t="s">
        <v>2856</v>
      </c>
      <c r="I720" s="19" t="s">
        <v>1272</v>
      </c>
      <c r="J720" s="210"/>
      <c r="K720" s="250"/>
      <c r="L720" s="251"/>
      <c r="M720" s="252"/>
      <c r="N720" s="253"/>
      <c r="O720" s="252"/>
      <c r="P720" s="254"/>
      <c r="Q720" s="418"/>
      <c r="R720" s="419"/>
      <c r="S720" s="420"/>
      <c r="T720" s="421"/>
      <c r="U720" s="420"/>
      <c r="V720" s="422"/>
      <c r="W720" s="597"/>
      <c r="X720" s="598"/>
      <c r="Y720" s="599"/>
      <c r="Z720" s="600"/>
      <c r="AA720" s="599"/>
      <c r="AB720" s="601"/>
      <c r="AC720" s="781"/>
      <c r="AD720" s="782"/>
      <c r="AE720" s="783"/>
      <c r="AF720" s="784"/>
      <c r="AG720" s="783"/>
      <c r="AH720" s="957"/>
      <c r="AI720" s="913" t="s">
        <v>2857</v>
      </c>
    </row>
    <row r="721" spans="1:35" ht="64.5" x14ac:dyDescent="0.25">
      <c r="A721" s="172" t="s">
        <v>2858</v>
      </c>
      <c r="B721" s="173" t="s">
        <v>40</v>
      </c>
      <c r="C721" s="173" t="s">
        <v>2626</v>
      </c>
      <c r="D721" s="173" t="s">
        <v>2846</v>
      </c>
      <c r="E721" s="173"/>
      <c r="F721" s="174" t="s">
        <v>1291</v>
      </c>
      <c r="G721" s="175" t="s">
        <v>2846</v>
      </c>
      <c r="H721" s="172" t="s">
        <v>2859</v>
      </c>
      <c r="I721" s="173" t="s">
        <v>1272</v>
      </c>
      <c r="J721" s="210"/>
      <c r="K721" s="250"/>
      <c r="L721" s="251"/>
      <c r="M721" s="252"/>
      <c r="N721" s="253"/>
      <c r="O721" s="252"/>
      <c r="P721" s="254"/>
      <c r="Q721" s="418"/>
      <c r="R721" s="419"/>
      <c r="S721" s="420"/>
      <c r="T721" s="421"/>
      <c r="U721" s="420"/>
      <c r="V721" s="422"/>
      <c r="W721" s="597"/>
      <c r="X721" s="598"/>
      <c r="Y721" s="599"/>
      <c r="Z721" s="600"/>
      <c r="AA721" s="599"/>
      <c r="AB721" s="601"/>
      <c r="AC721" s="781"/>
      <c r="AD721" s="782"/>
      <c r="AE721" s="783"/>
      <c r="AF721" s="784"/>
      <c r="AG721" s="783"/>
      <c r="AH721" s="957"/>
      <c r="AI721" s="944" t="s">
        <v>2860</v>
      </c>
    </row>
    <row r="722" spans="1:35" ht="64.5" x14ac:dyDescent="0.25">
      <c r="A722" s="32" t="s">
        <v>2861</v>
      </c>
      <c r="B722" s="33" t="s">
        <v>40</v>
      </c>
      <c r="C722" s="33" t="s">
        <v>2626</v>
      </c>
      <c r="D722" s="33" t="s">
        <v>2862</v>
      </c>
      <c r="E722" s="33"/>
      <c r="F722" s="34" t="s">
        <v>1291</v>
      </c>
      <c r="G722" s="35" t="s">
        <v>2862</v>
      </c>
      <c r="H722" s="32" t="s">
        <v>2863</v>
      </c>
      <c r="I722" s="33" t="s">
        <v>1272</v>
      </c>
      <c r="J722" s="210"/>
      <c r="K722" s="250"/>
      <c r="L722" s="251"/>
      <c r="M722" s="252"/>
      <c r="N722" s="253"/>
      <c r="O722" s="252"/>
      <c r="P722" s="254"/>
      <c r="Q722" s="418"/>
      <c r="R722" s="419"/>
      <c r="S722" s="420"/>
      <c r="T722" s="421"/>
      <c r="U722" s="420"/>
      <c r="V722" s="422"/>
      <c r="W722" s="597"/>
      <c r="X722" s="598"/>
      <c r="Y722" s="599"/>
      <c r="Z722" s="600"/>
      <c r="AA722" s="599"/>
      <c r="AB722" s="601"/>
      <c r="AC722" s="781"/>
      <c r="AD722" s="782"/>
      <c r="AE722" s="783"/>
      <c r="AF722" s="784"/>
      <c r="AG722" s="783"/>
      <c r="AH722" s="957"/>
      <c r="AI722" s="916"/>
    </row>
    <row r="723" spans="1:35" ht="60" x14ac:dyDescent="0.25">
      <c r="A723" s="41" t="s">
        <v>2864</v>
      </c>
      <c r="B723" s="42" t="s">
        <v>40</v>
      </c>
      <c r="C723" s="42" t="s">
        <v>2626</v>
      </c>
      <c r="D723" s="42" t="s">
        <v>2865</v>
      </c>
      <c r="E723" s="42"/>
      <c r="F723" s="43" t="s">
        <v>2865</v>
      </c>
      <c r="G723" s="44" t="s">
        <v>2865</v>
      </c>
      <c r="H723" s="41" t="s">
        <v>2866</v>
      </c>
      <c r="I723" s="42" t="s">
        <v>1272</v>
      </c>
      <c r="J723" s="211"/>
      <c r="K723" s="261">
        <v>588</v>
      </c>
      <c r="L723" s="262" t="s">
        <v>2867</v>
      </c>
      <c r="M723" s="293" t="s">
        <v>331</v>
      </c>
      <c r="N723" s="343" t="s">
        <v>61</v>
      </c>
      <c r="O723" s="293" t="s">
        <v>331</v>
      </c>
      <c r="P723" s="294" t="s">
        <v>61</v>
      </c>
      <c r="Q723" s="431">
        <v>323</v>
      </c>
      <c r="R723" s="432" t="s">
        <v>2868</v>
      </c>
      <c r="S723" s="465" t="s">
        <v>331</v>
      </c>
      <c r="T723" s="518" t="s">
        <v>61</v>
      </c>
      <c r="U723" s="465" t="s">
        <v>331</v>
      </c>
      <c r="V723" s="466" t="s">
        <v>61</v>
      </c>
      <c r="W723" s="611">
        <v>97</v>
      </c>
      <c r="X723" s="612" t="s">
        <v>2869</v>
      </c>
      <c r="Y723" s="652" t="s">
        <v>331</v>
      </c>
      <c r="Z723" s="702" t="s">
        <v>61</v>
      </c>
      <c r="AA723" s="652" t="s">
        <v>331</v>
      </c>
      <c r="AB723" s="616" t="s">
        <v>61</v>
      </c>
      <c r="AC723" s="792">
        <v>168</v>
      </c>
      <c r="AD723" s="793" t="s">
        <v>2870</v>
      </c>
      <c r="AE723" s="820" t="s">
        <v>331</v>
      </c>
      <c r="AF723" s="860" t="s">
        <v>61</v>
      </c>
      <c r="AG723" s="820" t="s">
        <v>331</v>
      </c>
      <c r="AH723" s="960" t="s">
        <v>61</v>
      </c>
      <c r="AI723" s="918"/>
    </row>
    <row r="724" spans="1:35" ht="39" x14ac:dyDescent="0.25">
      <c r="A724" s="49" t="s">
        <v>2871</v>
      </c>
      <c r="B724" s="50" t="s">
        <v>40</v>
      </c>
      <c r="C724" s="50" t="s">
        <v>2626</v>
      </c>
      <c r="D724" s="50" t="s">
        <v>2872</v>
      </c>
      <c r="E724" s="50" t="s">
        <v>2240</v>
      </c>
      <c r="F724" s="51"/>
      <c r="G724" s="52" t="s">
        <v>2873</v>
      </c>
      <c r="H724" s="49" t="s">
        <v>2874</v>
      </c>
      <c r="I724" s="50" t="s">
        <v>1272</v>
      </c>
      <c r="J724" s="210"/>
      <c r="K724" s="250"/>
      <c r="L724" s="251"/>
      <c r="M724" s="252"/>
      <c r="N724" s="253"/>
      <c r="O724" s="252"/>
      <c r="P724" s="254"/>
      <c r="Q724" s="418"/>
      <c r="R724" s="419"/>
      <c r="S724" s="420"/>
      <c r="T724" s="421"/>
      <c r="U724" s="420"/>
      <c r="V724" s="422"/>
      <c r="W724" s="597"/>
      <c r="X724" s="598"/>
      <c r="Y724" s="599"/>
      <c r="Z724" s="600"/>
      <c r="AA724" s="599"/>
      <c r="AB724" s="601"/>
      <c r="AC724" s="781"/>
      <c r="AD724" s="782"/>
      <c r="AE724" s="783"/>
      <c r="AF724" s="784"/>
      <c r="AG724" s="783"/>
      <c r="AH724" s="957"/>
      <c r="AI724" s="920"/>
    </row>
    <row r="725" spans="1:35" ht="39" x14ac:dyDescent="0.25">
      <c r="A725" s="49" t="s">
        <v>2875</v>
      </c>
      <c r="B725" s="50" t="s">
        <v>40</v>
      </c>
      <c r="C725" s="50" t="s">
        <v>2626</v>
      </c>
      <c r="D725" s="50" t="s">
        <v>2872</v>
      </c>
      <c r="E725" s="50" t="s">
        <v>1383</v>
      </c>
      <c r="F725" s="51"/>
      <c r="G725" s="52" t="s">
        <v>2876</v>
      </c>
      <c r="H725" s="49" t="s">
        <v>2877</v>
      </c>
      <c r="I725" s="50" t="s">
        <v>1272</v>
      </c>
      <c r="J725" s="210"/>
      <c r="K725" s="250"/>
      <c r="L725" s="251"/>
      <c r="M725" s="252"/>
      <c r="N725" s="253"/>
      <c r="O725" s="252"/>
      <c r="P725" s="254"/>
      <c r="Q725" s="418"/>
      <c r="R725" s="419"/>
      <c r="S725" s="420"/>
      <c r="T725" s="421"/>
      <c r="U725" s="420"/>
      <c r="V725" s="422"/>
      <c r="W725" s="597"/>
      <c r="X725" s="598"/>
      <c r="Y725" s="599"/>
      <c r="Z725" s="600"/>
      <c r="AA725" s="599"/>
      <c r="AB725" s="601"/>
      <c r="AC725" s="781"/>
      <c r="AD725" s="782"/>
      <c r="AE725" s="783"/>
      <c r="AF725" s="784"/>
      <c r="AG725" s="783"/>
      <c r="AH725" s="957"/>
      <c r="AI725" s="920"/>
    </row>
    <row r="726" spans="1:35" ht="39" x14ac:dyDescent="0.25">
      <c r="A726" s="49" t="s">
        <v>2878</v>
      </c>
      <c r="B726" s="50" t="s">
        <v>40</v>
      </c>
      <c r="C726" s="50" t="s">
        <v>2626</v>
      </c>
      <c r="D726" s="50" t="s">
        <v>2872</v>
      </c>
      <c r="E726" s="50" t="s">
        <v>2879</v>
      </c>
      <c r="F726" s="51"/>
      <c r="G726" s="52" t="s">
        <v>2880</v>
      </c>
      <c r="H726" s="49" t="s">
        <v>2881</v>
      </c>
      <c r="I726" s="50" t="s">
        <v>1272</v>
      </c>
      <c r="J726" s="210"/>
      <c r="K726" s="250"/>
      <c r="L726" s="251"/>
      <c r="M726" s="252"/>
      <c r="N726" s="253"/>
      <c r="O726" s="252"/>
      <c r="P726" s="254"/>
      <c r="Q726" s="418"/>
      <c r="R726" s="419"/>
      <c r="S726" s="420"/>
      <c r="T726" s="421"/>
      <c r="U726" s="420"/>
      <c r="V726" s="422"/>
      <c r="W726" s="597"/>
      <c r="X726" s="598"/>
      <c r="Y726" s="599"/>
      <c r="Z726" s="600"/>
      <c r="AA726" s="599"/>
      <c r="AB726" s="601"/>
      <c r="AC726" s="781"/>
      <c r="AD726" s="782"/>
      <c r="AE726" s="783"/>
      <c r="AF726" s="784"/>
      <c r="AG726" s="783"/>
      <c r="AH726" s="957"/>
      <c r="AI726" s="920"/>
    </row>
    <row r="727" spans="1:35" ht="39" x14ac:dyDescent="0.25">
      <c r="A727" s="49" t="s">
        <v>2882</v>
      </c>
      <c r="B727" s="50" t="s">
        <v>40</v>
      </c>
      <c r="C727" s="50" t="s">
        <v>2626</v>
      </c>
      <c r="D727" s="50" t="s">
        <v>2872</v>
      </c>
      <c r="E727" s="50" t="s">
        <v>2883</v>
      </c>
      <c r="F727" s="51"/>
      <c r="G727" s="52" t="s">
        <v>2884</v>
      </c>
      <c r="H727" s="49" t="s">
        <v>2885</v>
      </c>
      <c r="I727" s="50" t="s">
        <v>1272</v>
      </c>
      <c r="J727" s="210"/>
      <c r="K727" s="250"/>
      <c r="L727" s="251"/>
      <c r="M727" s="252"/>
      <c r="N727" s="253"/>
      <c r="O727" s="252"/>
      <c r="P727" s="254"/>
      <c r="Q727" s="418"/>
      <c r="R727" s="419"/>
      <c r="S727" s="420"/>
      <c r="T727" s="421"/>
      <c r="U727" s="420"/>
      <c r="V727" s="422"/>
      <c r="W727" s="597"/>
      <c r="X727" s="598"/>
      <c r="Y727" s="599"/>
      <c r="Z727" s="600"/>
      <c r="AA727" s="599"/>
      <c r="AB727" s="601"/>
      <c r="AC727" s="781"/>
      <c r="AD727" s="782"/>
      <c r="AE727" s="783"/>
      <c r="AF727" s="784"/>
      <c r="AG727" s="783"/>
      <c r="AH727" s="957"/>
      <c r="AI727" s="920"/>
    </row>
    <row r="728" spans="1:35" ht="39" x14ac:dyDescent="0.25">
      <c r="A728" s="49" t="s">
        <v>2886</v>
      </c>
      <c r="B728" s="50" t="s">
        <v>40</v>
      </c>
      <c r="C728" s="50" t="s">
        <v>2626</v>
      </c>
      <c r="D728" s="50" t="s">
        <v>2872</v>
      </c>
      <c r="E728" s="50" t="s">
        <v>2887</v>
      </c>
      <c r="F728" s="51"/>
      <c r="G728" s="52" t="s">
        <v>2888</v>
      </c>
      <c r="H728" s="49" t="s">
        <v>2889</v>
      </c>
      <c r="I728" s="50" t="s">
        <v>1272</v>
      </c>
      <c r="J728" s="210"/>
      <c r="K728" s="250"/>
      <c r="L728" s="251"/>
      <c r="M728" s="252"/>
      <c r="N728" s="253"/>
      <c r="O728" s="252"/>
      <c r="P728" s="254"/>
      <c r="Q728" s="418"/>
      <c r="R728" s="419"/>
      <c r="S728" s="420"/>
      <c r="T728" s="421"/>
      <c r="U728" s="420"/>
      <c r="V728" s="422"/>
      <c r="W728" s="597"/>
      <c r="X728" s="598"/>
      <c r="Y728" s="599"/>
      <c r="Z728" s="600"/>
      <c r="AA728" s="599"/>
      <c r="AB728" s="601"/>
      <c r="AC728" s="781"/>
      <c r="AD728" s="782"/>
      <c r="AE728" s="783"/>
      <c r="AF728" s="784"/>
      <c r="AG728" s="783"/>
      <c r="AH728" s="957"/>
      <c r="AI728" s="920"/>
    </row>
    <row r="729" spans="1:35" ht="39" x14ac:dyDescent="0.25">
      <c r="A729" s="49" t="s">
        <v>2890</v>
      </c>
      <c r="B729" s="50" t="s">
        <v>40</v>
      </c>
      <c r="C729" s="50" t="s">
        <v>2626</v>
      </c>
      <c r="D729" s="50" t="s">
        <v>2872</v>
      </c>
      <c r="E729" s="50" t="s">
        <v>1882</v>
      </c>
      <c r="F729" s="51"/>
      <c r="G729" s="52" t="s">
        <v>2891</v>
      </c>
      <c r="H729" s="49" t="s">
        <v>2892</v>
      </c>
      <c r="I729" s="50" t="s">
        <v>1272</v>
      </c>
      <c r="J729" s="210"/>
      <c r="K729" s="250"/>
      <c r="L729" s="251"/>
      <c r="M729" s="252"/>
      <c r="N729" s="253"/>
      <c r="O729" s="252"/>
      <c r="P729" s="254"/>
      <c r="Q729" s="418"/>
      <c r="R729" s="419"/>
      <c r="S729" s="420"/>
      <c r="T729" s="421"/>
      <c r="U729" s="420"/>
      <c r="V729" s="422"/>
      <c r="W729" s="597"/>
      <c r="X729" s="598"/>
      <c r="Y729" s="599"/>
      <c r="Z729" s="600"/>
      <c r="AA729" s="599"/>
      <c r="AB729" s="601"/>
      <c r="AC729" s="781"/>
      <c r="AD729" s="782"/>
      <c r="AE729" s="783"/>
      <c r="AF729" s="784"/>
      <c r="AG729" s="783"/>
      <c r="AH729" s="957"/>
      <c r="AI729" s="920"/>
    </row>
    <row r="730" spans="1:35" ht="39" x14ac:dyDescent="0.25">
      <c r="A730" s="49" t="s">
        <v>2893</v>
      </c>
      <c r="B730" s="50" t="s">
        <v>40</v>
      </c>
      <c r="C730" s="50" t="s">
        <v>2626</v>
      </c>
      <c r="D730" s="50" t="s">
        <v>2872</v>
      </c>
      <c r="E730" s="50" t="s">
        <v>2894</v>
      </c>
      <c r="F730" s="51"/>
      <c r="G730" s="52" t="s">
        <v>2895</v>
      </c>
      <c r="H730" s="49" t="s">
        <v>2896</v>
      </c>
      <c r="I730" s="50" t="s">
        <v>1272</v>
      </c>
      <c r="J730" s="210"/>
      <c r="K730" s="250"/>
      <c r="L730" s="251"/>
      <c r="M730" s="252"/>
      <c r="N730" s="253"/>
      <c r="O730" s="252"/>
      <c r="P730" s="254"/>
      <c r="Q730" s="418"/>
      <c r="R730" s="419"/>
      <c r="S730" s="420"/>
      <c r="T730" s="421"/>
      <c r="U730" s="420"/>
      <c r="V730" s="422"/>
      <c r="W730" s="597"/>
      <c r="X730" s="598"/>
      <c r="Y730" s="599"/>
      <c r="Z730" s="600"/>
      <c r="AA730" s="599"/>
      <c r="AB730" s="601"/>
      <c r="AC730" s="781"/>
      <c r="AD730" s="782"/>
      <c r="AE730" s="783"/>
      <c r="AF730" s="784"/>
      <c r="AG730" s="783"/>
      <c r="AH730" s="957"/>
      <c r="AI730" s="920"/>
    </row>
    <row r="731" spans="1:35" ht="39" x14ac:dyDescent="0.25">
      <c r="A731" s="49" t="s">
        <v>2897</v>
      </c>
      <c r="B731" s="50" t="s">
        <v>40</v>
      </c>
      <c r="C731" s="50" t="s">
        <v>2626</v>
      </c>
      <c r="D731" s="50" t="s">
        <v>2872</v>
      </c>
      <c r="E731" s="50" t="s">
        <v>2898</v>
      </c>
      <c r="F731" s="51"/>
      <c r="G731" s="52" t="s">
        <v>2899</v>
      </c>
      <c r="H731" s="49" t="s">
        <v>2892</v>
      </c>
      <c r="I731" s="50" t="s">
        <v>1272</v>
      </c>
      <c r="J731" s="210"/>
      <c r="K731" s="250"/>
      <c r="L731" s="251"/>
      <c r="M731" s="252"/>
      <c r="N731" s="253"/>
      <c r="O731" s="252"/>
      <c r="P731" s="254"/>
      <c r="Q731" s="418"/>
      <c r="R731" s="419"/>
      <c r="S731" s="420"/>
      <c r="T731" s="421"/>
      <c r="U731" s="420"/>
      <c r="V731" s="422"/>
      <c r="W731" s="597"/>
      <c r="X731" s="598"/>
      <c r="Y731" s="599"/>
      <c r="Z731" s="600"/>
      <c r="AA731" s="599"/>
      <c r="AB731" s="601"/>
      <c r="AC731" s="781"/>
      <c r="AD731" s="782"/>
      <c r="AE731" s="783"/>
      <c r="AF731" s="784"/>
      <c r="AG731" s="783"/>
      <c r="AH731" s="957"/>
      <c r="AI731" s="920"/>
    </row>
    <row r="732" spans="1:35" ht="39" x14ac:dyDescent="0.25">
      <c r="A732" s="49" t="s">
        <v>2900</v>
      </c>
      <c r="B732" s="50" t="s">
        <v>40</v>
      </c>
      <c r="C732" s="50" t="s">
        <v>2626</v>
      </c>
      <c r="D732" s="50" t="s">
        <v>2872</v>
      </c>
      <c r="E732" s="50" t="s">
        <v>2901</v>
      </c>
      <c r="F732" s="51"/>
      <c r="G732" s="52" t="s">
        <v>2902</v>
      </c>
      <c r="H732" s="49" t="s">
        <v>2892</v>
      </c>
      <c r="I732" s="50" t="s">
        <v>1272</v>
      </c>
      <c r="J732" s="210"/>
      <c r="K732" s="250"/>
      <c r="L732" s="251"/>
      <c r="M732" s="252"/>
      <c r="N732" s="253"/>
      <c r="O732" s="252"/>
      <c r="P732" s="254"/>
      <c r="Q732" s="418"/>
      <c r="R732" s="419"/>
      <c r="S732" s="420"/>
      <c r="T732" s="421"/>
      <c r="U732" s="420"/>
      <c r="V732" s="422"/>
      <c r="W732" s="597"/>
      <c r="X732" s="598"/>
      <c r="Y732" s="599"/>
      <c r="Z732" s="600"/>
      <c r="AA732" s="599"/>
      <c r="AB732" s="601"/>
      <c r="AC732" s="781"/>
      <c r="AD732" s="782"/>
      <c r="AE732" s="783"/>
      <c r="AF732" s="784"/>
      <c r="AG732" s="783"/>
      <c r="AH732" s="957"/>
      <c r="AI732" s="920"/>
    </row>
    <row r="733" spans="1:35" ht="39" x14ac:dyDescent="0.25">
      <c r="A733" s="49" t="s">
        <v>2903</v>
      </c>
      <c r="B733" s="50" t="s">
        <v>40</v>
      </c>
      <c r="C733" s="50" t="s">
        <v>2626</v>
      </c>
      <c r="D733" s="50" t="s">
        <v>2872</v>
      </c>
      <c r="E733" s="50" t="s">
        <v>2904</v>
      </c>
      <c r="F733" s="51"/>
      <c r="G733" s="52" t="s">
        <v>2905</v>
      </c>
      <c r="H733" s="49" t="s">
        <v>2906</v>
      </c>
      <c r="I733" s="50" t="s">
        <v>1272</v>
      </c>
      <c r="J733" s="210"/>
      <c r="K733" s="250"/>
      <c r="L733" s="251"/>
      <c r="M733" s="252"/>
      <c r="N733" s="253"/>
      <c r="O733" s="252"/>
      <c r="P733" s="254"/>
      <c r="Q733" s="418"/>
      <c r="R733" s="419"/>
      <c r="S733" s="420"/>
      <c r="T733" s="421"/>
      <c r="U733" s="420"/>
      <c r="V733" s="422"/>
      <c r="W733" s="597"/>
      <c r="X733" s="598"/>
      <c r="Y733" s="599"/>
      <c r="Z733" s="600"/>
      <c r="AA733" s="599"/>
      <c r="AB733" s="601"/>
      <c r="AC733" s="781"/>
      <c r="AD733" s="782"/>
      <c r="AE733" s="783"/>
      <c r="AF733" s="784"/>
      <c r="AG733" s="783"/>
      <c r="AH733" s="957"/>
      <c r="AI733" s="920"/>
    </row>
    <row r="734" spans="1:35" ht="39" x14ac:dyDescent="0.25">
      <c r="A734" s="49" t="s">
        <v>2907</v>
      </c>
      <c r="B734" s="50" t="s">
        <v>40</v>
      </c>
      <c r="C734" s="50" t="s">
        <v>2626</v>
      </c>
      <c r="D734" s="50" t="s">
        <v>2872</v>
      </c>
      <c r="E734" s="50" t="s">
        <v>2838</v>
      </c>
      <c r="F734" s="51"/>
      <c r="G734" s="52" t="s">
        <v>2908</v>
      </c>
      <c r="H734" s="49" t="s">
        <v>2896</v>
      </c>
      <c r="I734" s="50" t="s">
        <v>1272</v>
      </c>
      <c r="J734" s="210"/>
      <c r="K734" s="250"/>
      <c r="L734" s="251"/>
      <c r="M734" s="252"/>
      <c r="N734" s="253"/>
      <c r="O734" s="252"/>
      <c r="P734" s="254"/>
      <c r="Q734" s="418"/>
      <c r="R734" s="419"/>
      <c r="S734" s="420"/>
      <c r="T734" s="421"/>
      <c r="U734" s="420"/>
      <c r="V734" s="422"/>
      <c r="W734" s="597"/>
      <c r="X734" s="598"/>
      <c r="Y734" s="599"/>
      <c r="Z734" s="600"/>
      <c r="AA734" s="599"/>
      <c r="AB734" s="601"/>
      <c r="AC734" s="781"/>
      <c r="AD734" s="782"/>
      <c r="AE734" s="783"/>
      <c r="AF734" s="784"/>
      <c r="AG734" s="783"/>
      <c r="AH734" s="957"/>
      <c r="AI734" s="920"/>
    </row>
    <row r="735" spans="1:35" ht="39" x14ac:dyDescent="0.25">
      <c r="A735" s="49" t="s">
        <v>2909</v>
      </c>
      <c r="B735" s="50" t="s">
        <v>40</v>
      </c>
      <c r="C735" s="50" t="s">
        <v>2626</v>
      </c>
      <c r="D735" s="50" t="s">
        <v>2872</v>
      </c>
      <c r="E735" s="50" t="s">
        <v>2910</v>
      </c>
      <c r="F735" s="51"/>
      <c r="G735" s="52" t="s">
        <v>2911</v>
      </c>
      <c r="H735" s="49" t="s">
        <v>2892</v>
      </c>
      <c r="I735" s="50" t="s">
        <v>1272</v>
      </c>
      <c r="J735" s="210"/>
      <c r="K735" s="250"/>
      <c r="L735" s="251"/>
      <c r="M735" s="252"/>
      <c r="N735" s="253"/>
      <c r="O735" s="252"/>
      <c r="P735" s="254"/>
      <c r="Q735" s="418"/>
      <c r="R735" s="419"/>
      <c r="S735" s="420"/>
      <c r="T735" s="421"/>
      <c r="U735" s="420"/>
      <c r="V735" s="422"/>
      <c r="W735" s="597"/>
      <c r="X735" s="598"/>
      <c r="Y735" s="599"/>
      <c r="Z735" s="600"/>
      <c r="AA735" s="599"/>
      <c r="AB735" s="601"/>
      <c r="AC735" s="781"/>
      <c r="AD735" s="782"/>
      <c r="AE735" s="783"/>
      <c r="AF735" s="784"/>
      <c r="AG735" s="783"/>
      <c r="AH735" s="957"/>
      <c r="AI735" s="920"/>
    </row>
    <row r="736" spans="1:35" ht="39" x14ac:dyDescent="0.25">
      <c r="A736" s="49" t="s">
        <v>2912</v>
      </c>
      <c r="B736" s="50" t="s">
        <v>40</v>
      </c>
      <c r="C736" s="50" t="s">
        <v>2626</v>
      </c>
      <c r="D736" s="50" t="s">
        <v>2872</v>
      </c>
      <c r="E736" s="50" t="s">
        <v>2913</v>
      </c>
      <c r="F736" s="51"/>
      <c r="G736" s="52" t="s">
        <v>2914</v>
      </c>
      <c r="H736" s="49" t="s">
        <v>46</v>
      </c>
      <c r="I736" s="50" t="s">
        <v>1272</v>
      </c>
      <c r="J736" s="210"/>
      <c r="K736" s="250"/>
      <c r="L736" s="251"/>
      <c r="M736" s="252"/>
      <c r="N736" s="253"/>
      <c r="O736" s="252"/>
      <c r="P736" s="254"/>
      <c r="Q736" s="418"/>
      <c r="R736" s="419"/>
      <c r="S736" s="420"/>
      <c r="T736" s="421"/>
      <c r="U736" s="420"/>
      <c r="V736" s="422"/>
      <c r="W736" s="597"/>
      <c r="X736" s="598"/>
      <c r="Y736" s="599"/>
      <c r="Z736" s="600"/>
      <c r="AA736" s="599"/>
      <c r="AB736" s="601"/>
      <c r="AC736" s="781"/>
      <c r="AD736" s="782"/>
      <c r="AE736" s="783"/>
      <c r="AF736" s="784"/>
      <c r="AG736" s="783"/>
      <c r="AH736" s="957"/>
      <c r="AI736" s="920"/>
    </row>
    <row r="737" spans="1:35" ht="75" x14ac:dyDescent="0.25">
      <c r="A737" s="54" t="s">
        <v>2915</v>
      </c>
      <c r="B737" s="55" t="s">
        <v>40</v>
      </c>
      <c r="C737" s="55" t="s">
        <v>2626</v>
      </c>
      <c r="D737" s="55" t="s">
        <v>2872</v>
      </c>
      <c r="E737" s="55"/>
      <c r="F737" s="56" t="s">
        <v>1291</v>
      </c>
      <c r="G737" s="57" t="s">
        <v>504</v>
      </c>
      <c r="H737" s="54"/>
      <c r="I737" s="55"/>
      <c r="J737" s="211"/>
      <c r="K737" s="261"/>
      <c r="L737" s="262"/>
      <c r="M737" s="293"/>
      <c r="N737" s="343"/>
      <c r="O737" s="293"/>
      <c r="P737" s="294"/>
      <c r="Q737" s="431"/>
      <c r="R737" s="432"/>
      <c r="S737" s="465"/>
      <c r="T737" s="518"/>
      <c r="U737" s="465"/>
      <c r="V737" s="466"/>
      <c r="W737" s="611"/>
      <c r="X737" s="612"/>
      <c r="Y737" s="652"/>
      <c r="Z737" s="702"/>
      <c r="AA737" s="652"/>
      <c r="AB737" s="616"/>
      <c r="AC737" s="792"/>
      <c r="AD737" s="793"/>
      <c r="AE737" s="820"/>
      <c r="AF737" s="860"/>
      <c r="AG737" s="820"/>
      <c r="AH737" s="960"/>
      <c r="AI737" s="921"/>
    </row>
    <row r="738" spans="1:35" ht="39" x14ac:dyDescent="0.25">
      <c r="A738" s="18" t="s">
        <v>2916</v>
      </c>
      <c r="B738" s="19" t="s">
        <v>40</v>
      </c>
      <c r="C738" s="19" t="s">
        <v>2626</v>
      </c>
      <c r="D738" s="19" t="s">
        <v>2917</v>
      </c>
      <c r="E738" s="19" t="s">
        <v>2240</v>
      </c>
      <c r="F738" s="20"/>
      <c r="G738" s="21" t="s">
        <v>2918</v>
      </c>
      <c r="H738" s="18" t="s">
        <v>2129</v>
      </c>
      <c r="I738" s="19" t="s">
        <v>1272</v>
      </c>
      <c r="J738" s="210"/>
      <c r="K738" s="250"/>
      <c r="L738" s="251"/>
      <c r="M738" s="252"/>
      <c r="N738" s="253"/>
      <c r="O738" s="252"/>
      <c r="P738" s="254"/>
      <c r="Q738" s="418"/>
      <c r="R738" s="419"/>
      <c r="S738" s="420"/>
      <c r="T738" s="421"/>
      <c r="U738" s="420"/>
      <c r="V738" s="422"/>
      <c r="W738" s="597"/>
      <c r="X738" s="598"/>
      <c r="Y738" s="599"/>
      <c r="Z738" s="600"/>
      <c r="AA738" s="599"/>
      <c r="AB738" s="601"/>
      <c r="AC738" s="781"/>
      <c r="AD738" s="782"/>
      <c r="AE738" s="783"/>
      <c r="AF738" s="784"/>
      <c r="AG738" s="783"/>
      <c r="AH738" s="957"/>
      <c r="AI738" s="913"/>
    </row>
    <row r="739" spans="1:35" ht="39" x14ac:dyDescent="0.25">
      <c r="A739" s="18" t="s">
        <v>2919</v>
      </c>
      <c r="B739" s="19" t="s">
        <v>40</v>
      </c>
      <c r="C739" s="19" t="s">
        <v>2626</v>
      </c>
      <c r="D739" s="19" t="s">
        <v>2917</v>
      </c>
      <c r="E739" s="19" t="s">
        <v>1383</v>
      </c>
      <c r="F739" s="20"/>
      <c r="G739" s="21" t="s">
        <v>2920</v>
      </c>
      <c r="H739" s="18" t="s">
        <v>2877</v>
      </c>
      <c r="I739" s="19" t="s">
        <v>1272</v>
      </c>
      <c r="J739" s="210"/>
      <c r="K739" s="250"/>
      <c r="L739" s="251"/>
      <c r="M739" s="252"/>
      <c r="N739" s="253"/>
      <c r="O739" s="252"/>
      <c r="P739" s="254"/>
      <c r="Q739" s="418"/>
      <c r="R739" s="419"/>
      <c r="S739" s="420"/>
      <c r="T739" s="421"/>
      <c r="U739" s="420"/>
      <c r="V739" s="422"/>
      <c r="W739" s="597"/>
      <c r="X739" s="598"/>
      <c r="Y739" s="599"/>
      <c r="Z739" s="600"/>
      <c r="AA739" s="599"/>
      <c r="AB739" s="601"/>
      <c r="AC739" s="781"/>
      <c r="AD739" s="782"/>
      <c r="AE739" s="783"/>
      <c r="AF739" s="784"/>
      <c r="AG739" s="783"/>
      <c r="AH739" s="957"/>
      <c r="AI739" s="913"/>
    </row>
    <row r="740" spans="1:35" ht="39" x14ac:dyDescent="0.25">
      <c r="A740" s="18" t="s">
        <v>2921</v>
      </c>
      <c r="B740" s="19" t="s">
        <v>40</v>
      </c>
      <c r="C740" s="19" t="s">
        <v>2626</v>
      </c>
      <c r="D740" s="19" t="s">
        <v>2917</v>
      </c>
      <c r="E740" s="19" t="s">
        <v>2879</v>
      </c>
      <c r="F740" s="20"/>
      <c r="G740" s="21" t="s">
        <v>2922</v>
      </c>
      <c r="H740" s="18" t="s">
        <v>2923</v>
      </c>
      <c r="I740" s="19" t="s">
        <v>1272</v>
      </c>
      <c r="J740" s="210"/>
      <c r="K740" s="250"/>
      <c r="L740" s="251"/>
      <c r="M740" s="252"/>
      <c r="N740" s="253"/>
      <c r="O740" s="252"/>
      <c r="P740" s="254"/>
      <c r="Q740" s="418"/>
      <c r="R740" s="419"/>
      <c r="S740" s="420"/>
      <c r="T740" s="421"/>
      <c r="U740" s="420"/>
      <c r="V740" s="422"/>
      <c r="W740" s="597"/>
      <c r="X740" s="598"/>
      <c r="Y740" s="599"/>
      <c r="Z740" s="600"/>
      <c r="AA740" s="599"/>
      <c r="AB740" s="601"/>
      <c r="AC740" s="781"/>
      <c r="AD740" s="782"/>
      <c r="AE740" s="783"/>
      <c r="AF740" s="784"/>
      <c r="AG740" s="783"/>
      <c r="AH740" s="957"/>
      <c r="AI740" s="913"/>
    </row>
    <row r="741" spans="1:35" ht="39" x14ac:dyDescent="0.25">
      <c r="A741" s="18" t="s">
        <v>2924</v>
      </c>
      <c r="B741" s="19" t="s">
        <v>40</v>
      </c>
      <c r="C741" s="19" t="s">
        <v>2626</v>
      </c>
      <c r="D741" s="19" t="s">
        <v>2917</v>
      </c>
      <c r="E741" s="19" t="s">
        <v>2883</v>
      </c>
      <c r="F741" s="20"/>
      <c r="G741" s="21" t="s">
        <v>2925</v>
      </c>
      <c r="H741" s="18" t="s">
        <v>1318</v>
      </c>
      <c r="I741" s="19" t="s">
        <v>1272</v>
      </c>
      <c r="J741" s="210"/>
      <c r="K741" s="250"/>
      <c r="L741" s="251"/>
      <c r="M741" s="252"/>
      <c r="N741" s="253"/>
      <c r="O741" s="252"/>
      <c r="P741" s="254"/>
      <c r="Q741" s="418"/>
      <c r="R741" s="419"/>
      <c r="S741" s="420"/>
      <c r="T741" s="421"/>
      <c r="U741" s="420"/>
      <c r="V741" s="422"/>
      <c r="W741" s="597"/>
      <c r="X741" s="598"/>
      <c r="Y741" s="599"/>
      <c r="Z741" s="600"/>
      <c r="AA741" s="599"/>
      <c r="AB741" s="601"/>
      <c r="AC741" s="781"/>
      <c r="AD741" s="782"/>
      <c r="AE741" s="783"/>
      <c r="AF741" s="784"/>
      <c r="AG741" s="783"/>
      <c r="AH741" s="957"/>
      <c r="AI741" s="913"/>
    </row>
    <row r="742" spans="1:35" ht="39" x14ac:dyDescent="0.25">
      <c r="A742" s="18" t="s">
        <v>2926</v>
      </c>
      <c r="B742" s="19" t="s">
        <v>40</v>
      </c>
      <c r="C742" s="19" t="s">
        <v>2626</v>
      </c>
      <c r="D742" s="19" t="s">
        <v>2917</v>
      </c>
      <c r="E742" s="19" t="s">
        <v>2887</v>
      </c>
      <c r="F742" s="20"/>
      <c r="G742" s="21" t="s">
        <v>2927</v>
      </c>
      <c r="H742" s="18" t="s">
        <v>2179</v>
      </c>
      <c r="I742" s="19" t="s">
        <v>1272</v>
      </c>
      <c r="J742" s="210"/>
      <c r="K742" s="250"/>
      <c r="L742" s="251"/>
      <c r="M742" s="252"/>
      <c r="N742" s="253"/>
      <c r="O742" s="252"/>
      <c r="P742" s="254"/>
      <c r="Q742" s="418"/>
      <c r="R742" s="419"/>
      <c r="S742" s="420"/>
      <c r="T742" s="421"/>
      <c r="U742" s="420"/>
      <c r="V742" s="422"/>
      <c r="W742" s="597"/>
      <c r="X742" s="598"/>
      <c r="Y742" s="599"/>
      <c r="Z742" s="600"/>
      <c r="AA742" s="599"/>
      <c r="AB742" s="601"/>
      <c r="AC742" s="781"/>
      <c r="AD742" s="782"/>
      <c r="AE742" s="783"/>
      <c r="AF742" s="784"/>
      <c r="AG742" s="783"/>
      <c r="AH742" s="957"/>
      <c r="AI742" s="913"/>
    </row>
    <row r="743" spans="1:35" ht="39" x14ac:dyDescent="0.25">
      <c r="A743" s="18" t="s">
        <v>2928</v>
      </c>
      <c r="B743" s="19" t="s">
        <v>40</v>
      </c>
      <c r="C743" s="19" t="s">
        <v>2626</v>
      </c>
      <c r="D743" s="19" t="s">
        <v>2917</v>
      </c>
      <c r="E743" s="19" t="s">
        <v>1882</v>
      </c>
      <c r="F743" s="20"/>
      <c r="G743" s="21" t="s">
        <v>2929</v>
      </c>
      <c r="H743" s="18" t="s">
        <v>2892</v>
      </c>
      <c r="I743" s="19" t="s">
        <v>1272</v>
      </c>
      <c r="J743" s="210"/>
      <c r="K743" s="250"/>
      <c r="L743" s="251"/>
      <c r="M743" s="252"/>
      <c r="N743" s="253"/>
      <c r="O743" s="252"/>
      <c r="P743" s="254"/>
      <c r="Q743" s="418"/>
      <c r="R743" s="419"/>
      <c r="S743" s="420"/>
      <c r="T743" s="421"/>
      <c r="U743" s="420"/>
      <c r="V743" s="422"/>
      <c r="W743" s="597"/>
      <c r="X743" s="598"/>
      <c r="Y743" s="599"/>
      <c r="Z743" s="600"/>
      <c r="AA743" s="599"/>
      <c r="AB743" s="601"/>
      <c r="AC743" s="781"/>
      <c r="AD743" s="782"/>
      <c r="AE743" s="783"/>
      <c r="AF743" s="784"/>
      <c r="AG743" s="783"/>
      <c r="AH743" s="957"/>
      <c r="AI743" s="913"/>
    </row>
    <row r="744" spans="1:35" ht="39" x14ac:dyDescent="0.25">
      <c r="A744" s="18" t="s">
        <v>2930</v>
      </c>
      <c r="B744" s="19" t="s">
        <v>40</v>
      </c>
      <c r="C744" s="19" t="s">
        <v>2626</v>
      </c>
      <c r="D744" s="19" t="s">
        <v>2917</v>
      </c>
      <c r="E744" s="19" t="s">
        <v>2894</v>
      </c>
      <c r="F744" s="20"/>
      <c r="G744" s="21" t="s">
        <v>2931</v>
      </c>
      <c r="H744" s="18" t="s">
        <v>2877</v>
      </c>
      <c r="I744" s="19" t="s">
        <v>1272</v>
      </c>
      <c r="J744" s="210"/>
      <c r="K744" s="250"/>
      <c r="L744" s="251"/>
      <c r="M744" s="252"/>
      <c r="N744" s="253"/>
      <c r="O744" s="252"/>
      <c r="P744" s="254"/>
      <c r="Q744" s="418"/>
      <c r="R744" s="419"/>
      <c r="S744" s="420"/>
      <c r="T744" s="421"/>
      <c r="U744" s="420"/>
      <c r="V744" s="422"/>
      <c r="W744" s="597"/>
      <c r="X744" s="598"/>
      <c r="Y744" s="599"/>
      <c r="Z744" s="600"/>
      <c r="AA744" s="599"/>
      <c r="AB744" s="601"/>
      <c r="AC744" s="781"/>
      <c r="AD744" s="782"/>
      <c r="AE744" s="783"/>
      <c r="AF744" s="784"/>
      <c r="AG744" s="783"/>
      <c r="AH744" s="957"/>
      <c r="AI744" s="913"/>
    </row>
    <row r="745" spans="1:35" ht="39" x14ac:dyDescent="0.25">
      <c r="A745" s="18" t="s">
        <v>2932</v>
      </c>
      <c r="B745" s="19" t="s">
        <v>40</v>
      </c>
      <c r="C745" s="19" t="s">
        <v>2626</v>
      </c>
      <c r="D745" s="19" t="s">
        <v>2917</v>
      </c>
      <c r="E745" s="19" t="s">
        <v>2898</v>
      </c>
      <c r="F745" s="20"/>
      <c r="G745" s="21" t="s">
        <v>2933</v>
      </c>
      <c r="H745" s="18" t="s">
        <v>2892</v>
      </c>
      <c r="I745" s="19" t="s">
        <v>1272</v>
      </c>
      <c r="J745" s="210"/>
      <c r="K745" s="250"/>
      <c r="L745" s="251"/>
      <c r="M745" s="252"/>
      <c r="N745" s="253"/>
      <c r="O745" s="252"/>
      <c r="P745" s="254"/>
      <c r="Q745" s="418"/>
      <c r="R745" s="419"/>
      <c r="S745" s="420"/>
      <c r="T745" s="421"/>
      <c r="U745" s="420"/>
      <c r="V745" s="422"/>
      <c r="W745" s="597"/>
      <c r="X745" s="598"/>
      <c r="Y745" s="599"/>
      <c r="Z745" s="600"/>
      <c r="AA745" s="599"/>
      <c r="AB745" s="601"/>
      <c r="AC745" s="781"/>
      <c r="AD745" s="782"/>
      <c r="AE745" s="783"/>
      <c r="AF745" s="784"/>
      <c r="AG745" s="783"/>
      <c r="AH745" s="957"/>
      <c r="AI745" s="913"/>
    </row>
    <row r="746" spans="1:35" ht="39" x14ac:dyDescent="0.25">
      <c r="A746" s="18" t="s">
        <v>2934</v>
      </c>
      <c r="B746" s="19" t="s">
        <v>40</v>
      </c>
      <c r="C746" s="19" t="s">
        <v>2626</v>
      </c>
      <c r="D746" s="19" t="s">
        <v>2917</v>
      </c>
      <c r="E746" s="19" t="s">
        <v>2901</v>
      </c>
      <c r="F746" s="20"/>
      <c r="G746" s="21" t="s">
        <v>2935</v>
      </c>
      <c r="H746" s="18" t="s">
        <v>2892</v>
      </c>
      <c r="I746" s="19" t="s">
        <v>1272</v>
      </c>
      <c r="J746" s="210"/>
      <c r="K746" s="250"/>
      <c r="L746" s="251"/>
      <c r="M746" s="252"/>
      <c r="N746" s="253"/>
      <c r="O746" s="252"/>
      <c r="P746" s="254"/>
      <c r="Q746" s="418"/>
      <c r="R746" s="419"/>
      <c r="S746" s="420"/>
      <c r="T746" s="421"/>
      <c r="U746" s="420"/>
      <c r="V746" s="422"/>
      <c r="W746" s="597"/>
      <c r="X746" s="598"/>
      <c r="Y746" s="599"/>
      <c r="Z746" s="600"/>
      <c r="AA746" s="599"/>
      <c r="AB746" s="601"/>
      <c r="AC746" s="781"/>
      <c r="AD746" s="782"/>
      <c r="AE746" s="783"/>
      <c r="AF746" s="784"/>
      <c r="AG746" s="783"/>
      <c r="AH746" s="957"/>
      <c r="AI746" s="913"/>
    </row>
    <row r="747" spans="1:35" ht="39" x14ac:dyDescent="0.25">
      <c r="A747" s="18" t="s">
        <v>2936</v>
      </c>
      <c r="B747" s="19" t="s">
        <v>40</v>
      </c>
      <c r="C747" s="19" t="s">
        <v>2626</v>
      </c>
      <c r="D747" s="19" t="s">
        <v>2917</v>
      </c>
      <c r="E747" s="19" t="s">
        <v>2904</v>
      </c>
      <c r="F747" s="20"/>
      <c r="G747" s="21" t="s">
        <v>2937</v>
      </c>
      <c r="H747" s="18" t="s">
        <v>2896</v>
      </c>
      <c r="I747" s="19" t="s">
        <v>1272</v>
      </c>
      <c r="J747" s="210"/>
      <c r="K747" s="250"/>
      <c r="L747" s="251"/>
      <c r="M747" s="252"/>
      <c r="N747" s="253"/>
      <c r="O747" s="252"/>
      <c r="P747" s="254"/>
      <c r="Q747" s="418"/>
      <c r="R747" s="419"/>
      <c r="S747" s="420"/>
      <c r="T747" s="421"/>
      <c r="U747" s="420"/>
      <c r="V747" s="422"/>
      <c r="W747" s="597"/>
      <c r="X747" s="598"/>
      <c r="Y747" s="599"/>
      <c r="Z747" s="600"/>
      <c r="AA747" s="599"/>
      <c r="AB747" s="601"/>
      <c r="AC747" s="781"/>
      <c r="AD747" s="782"/>
      <c r="AE747" s="783"/>
      <c r="AF747" s="784"/>
      <c r="AG747" s="783"/>
      <c r="AH747" s="957"/>
      <c r="AI747" s="913"/>
    </row>
    <row r="748" spans="1:35" ht="39" x14ac:dyDescent="0.25">
      <c r="A748" s="18" t="s">
        <v>2938</v>
      </c>
      <c r="B748" s="19" t="s">
        <v>40</v>
      </c>
      <c r="C748" s="19" t="s">
        <v>2626</v>
      </c>
      <c r="D748" s="19" t="s">
        <v>2917</v>
      </c>
      <c r="E748" s="19" t="s">
        <v>2838</v>
      </c>
      <c r="F748" s="20"/>
      <c r="G748" s="21" t="s">
        <v>2939</v>
      </c>
      <c r="H748" s="18" t="s">
        <v>2896</v>
      </c>
      <c r="I748" s="19" t="s">
        <v>1272</v>
      </c>
      <c r="J748" s="210"/>
      <c r="K748" s="250"/>
      <c r="L748" s="251"/>
      <c r="M748" s="252"/>
      <c r="N748" s="253"/>
      <c r="O748" s="252"/>
      <c r="P748" s="254"/>
      <c r="Q748" s="418"/>
      <c r="R748" s="419"/>
      <c r="S748" s="420"/>
      <c r="T748" s="421"/>
      <c r="U748" s="420"/>
      <c r="V748" s="422"/>
      <c r="W748" s="597"/>
      <c r="X748" s="598"/>
      <c r="Y748" s="599"/>
      <c r="Z748" s="600"/>
      <c r="AA748" s="599"/>
      <c r="AB748" s="601"/>
      <c r="AC748" s="781"/>
      <c r="AD748" s="782"/>
      <c r="AE748" s="783"/>
      <c r="AF748" s="784"/>
      <c r="AG748" s="783"/>
      <c r="AH748" s="957"/>
      <c r="AI748" s="913"/>
    </row>
    <row r="749" spans="1:35" ht="51.75" x14ac:dyDescent="0.25">
      <c r="A749" s="18" t="s">
        <v>2940</v>
      </c>
      <c r="B749" s="19" t="s">
        <v>40</v>
      </c>
      <c r="C749" s="19" t="s">
        <v>2626</v>
      </c>
      <c r="D749" s="19" t="s">
        <v>2917</v>
      </c>
      <c r="E749" s="19" t="s">
        <v>2910</v>
      </c>
      <c r="F749" s="20"/>
      <c r="G749" s="21" t="s">
        <v>2941</v>
      </c>
      <c r="H749" s="18" t="s">
        <v>2892</v>
      </c>
      <c r="I749" s="19" t="s">
        <v>1272</v>
      </c>
      <c r="J749" s="210"/>
      <c r="K749" s="250"/>
      <c r="L749" s="251"/>
      <c r="M749" s="252"/>
      <c r="N749" s="253"/>
      <c r="O749" s="252"/>
      <c r="P749" s="254"/>
      <c r="Q749" s="418"/>
      <c r="R749" s="419"/>
      <c r="S749" s="420"/>
      <c r="T749" s="421"/>
      <c r="U749" s="420"/>
      <c r="V749" s="422"/>
      <c r="W749" s="597"/>
      <c r="X749" s="598"/>
      <c r="Y749" s="599"/>
      <c r="Z749" s="600"/>
      <c r="AA749" s="599"/>
      <c r="AB749" s="601"/>
      <c r="AC749" s="781"/>
      <c r="AD749" s="782"/>
      <c r="AE749" s="783"/>
      <c r="AF749" s="784"/>
      <c r="AG749" s="783"/>
      <c r="AH749" s="957"/>
      <c r="AI749" s="913"/>
    </row>
    <row r="750" spans="1:35" ht="39" x14ac:dyDescent="0.25">
      <c r="A750" s="18" t="s">
        <v>2942</v>
      </c>
      <c r="B750" s="19" t="s">
        <v>40</v>
      </c>
      <c r="C750" s="19" t="s">
        <v>2626</v>
      </c>
      <c r="D750" s="19" t="s">
        <v>2917</v>
      </c>
      <c r="E750" s="19" t="s">
        <v>2913</v>
      </c>
      <c r="F750" s="20"/>
      <c r="G750" s="21" t="s">
        <v>2943</v>
      </c>
      <c r="H750" s="18" t="s">
        <v>2892</v>
      </c>
      <c r="I750" s="19" t="s">
        <v>1272</v>
      </c>
      <c r="J750" s="210"/>
      <c r="K750" s="250"/>
      <c r="L750" s="251"/>
      <c r="M750" s="252"/>
      <c r="N750" s="253"/>
      <c r="O750" s="252"/>
      <c r="P750" s="254"/>
      <c r="Q750" s="418"/>
      <c r="R750" s="419"/>
      <c r="S750" s="420"/>
      <c r="T750" s="421"/>
      <c r="U750" s="420"/>
      <c r="V750" s="422"/>
      <c r="W750" s="597"/>
      <c r="X750" s="598"/>
      <c r="Y750" s="599"/>
      <c r="Z750" s="600"/>
      <c r="AA750" s="599"/>
      <c r="AB750" s="601"/>
      <c r="AC750" s="781"/>
      <c r="AD750" s="782"/>
      <c r="AE750" s="783"/>
      <c r="AF750" s="784"/>
      <c r="AG750" s="783"/>
      <c r="AH750" s="957"/>
      <c r="AI750" s="913"/>
    </row>
    <row r="751" spans="1:35" ht="75" x14ac:dyDescent="0.25">
      <c r="A751" s="27" t="s">
        <v>2944</v>
      </c>
      <c r="B751" s="28" t="s">
        <v>40</v>
      </c>
      <c r="C751" s="28" t="s">
        <v>2626</v>
      </c>
      <c r="D751" s="28" t="s">
        <v>2917</v>
      </c>
      <c r="E751" s="28"/>
      <c r="F751" s="29" t="s">
        <v>1291</v>
      </c>
      <c r="G751" s="30" t="s">
        <v>2945</v>
      </c>
      <c r="H751" s="27" t="s">
        <v>2085</v>
      </c>
      <c r="I751" s="28" t="s">
        <v>1272</v>
      </c>
      <c r="J751" s="211"/>
      <c r="K751" s="261"/>
      <c r="L751" s="262"/>
      <c r="M751" s="293"/>
      <c r="N751" s="343"/>
      <c r="O751" s="293"/>
      <c r="P751" s="294"/>
      <c r="Q751" s="431"/>
      <c r="R751" s="432"/>
      <c r="S751" s="465"/>
      <c r="T751" s="518"/>
      <c r="U751" s="465"/>
      <c r="V751" s="466"/>
      <c r="W751" s="611"/>
      <c r="X751" s="612"/>
      <c r="Y751" s="652"/>
      <c r="Z751" s="702"/>
      <c r="AA751" s="652"/>
      <c r="AB751" s="616"/>
      <c r="AC751" s="792"/>
      <c r="AD751" s="793"/>
      <c r="AE751" s="820"/>
      <c r="AF751" s="860"/>
      <c r="AG751" s="820"/>
      <c r="AH751" s="960"/>
      <c r="AI751" s="915"/>
    </row>
    <row r="752" spans="1:35" ht="51.75" x14ac:dyDescent="0.25">
      <c r="A752" s="118" t="s">
        <v>2946</v>
      </c>
      <c r="B752" s="119" t="s">
        <v>40</v>
      </c>
      <c r="C752" s="119" t="s">
        <v>2626</v>
      </c>
      <c r="D752" s="119" t="s">
        <v>2947</v>
      </c>
      <c r="E752" s="119" t="s">
        <v>2948</v>
      </c>
      <c r="F752" s="112" t="s">
        <v>2949</v>
      </c>
      <c r="G752" s="114" t="s">
        <v>1262</v>
      </c>
      <c r="H752" s="118"/>
      <c r="I752" s="119"/>
      <c r="J752" s="214"/>
      <c r="K752" s="289"/>
      <c r="L752" s="290"/>
      <c r="M752" s="258"/>
      <c r="N752" s="259"/>
      <c r="O752" s="258"/>
      <c r="P752" s="260"/>
      <c r="Q752" s="423"/>
      <c r="R752" s="424"/>
      <c r="S752" s="428"/>
      <c r="T752" s="429"/>
      <c r="U752" s="428"/>
      <c r="V752" s="430"/>
      <c r="W752" s="607"/>
      <c r="X752" s="603"/>
      <c r="Y752" s="624"/>
      <c r="Z752" s="625"/>
      <c r="AA752" s="624"/>
      <c r="AB752" s="626"/>
      <c r="AC752" s="789"/>
      <c r="AD752" s="786"/>
      <c r="AE752" s="790"/>
      <c r="AF752" s="791"/>
      <c r="AG752" s="790"/>
      <c r="AH752" s="958"/>
      <c r="AI752" s="932"/>
    </row>
    <row r="753" spans="1:35" ht="45" x14ac:dyDescent="0.25">
      <c r="A753" s="41" t="s">
        <v>2950</v>
      </c>
      <c r="B753" s="42" t="s">
        <v>40</v>
      </c>
      <c r="C753" s="42" t="s">
        <v>2626</v>
      </c>
      <c r="D753" s="42" t="s">
        <v>2947</v>
      </c>
      <c r="E753" s="42" t="s">
        <v>2948</v>
      </c>
      <c r="F753" s="43" t="s">
        <v>2948</v>
      </c>
      <c r="G753" s="44" t="s">
        <v>2948</v>
      </c>
      <c r="H753" s="41" t="s">
        <v>2951</v>
      </c>
      <c r="I753" s="42" t="s">
        <v>1272</v>
      </c>
      <c r="J753" s="211"/>
      <c r="K753" s="261">
        <v>225</v>
      </c>
      <c r="L753" s="262" t="s">
        <v>2952</v>
      </c>
      <c r="M753" s="293" t="s">
        <v>331</v>
      </c>
      <c r="N753" s="343" t="s">
        <v>61</v>
      </c>
      <c r="O753" s="293" t="s">
        <v>331</v>
      </c>
      <c r="P753" s="294" t="s">
        <v>61</v>
      </c>
      <c r="Q753" s="431">
        <v>150</v>
      </c>
      <c r="R753" s="432" t="s">
        <v>1173</v>
      </c>
      <c r="S753" s="465" t="s">
        <v>331</v>
      </c>
      <c r="T753" s="518" t="s">
        <v>61</v>
      </c>
      <c r="U753" s="465" t="s">
        <v>331</v>
      </c>
      <c r="V753" s="466" t="s">
        <v>61</v>
      </c>
      <c r="W753" s="611">
        <v>32</v>
      </c>
      <c r="X753" s="612" t="s">
        <v>2953</v>
      </c>
      <c r="Y753" s="652" t="s">
        <v>331</v>
      </c>
      <c r="Z753" s="702" t="s">
        <v>61</v>
      </c>
      <c r="AA753" s="652" t="s">
        <v>331</v>
      </c>
      <c r="AB753" s="616" t="s">
        <v>61</v>
      </c>
      <c r="AC753" s="792">
        <v>43</v>
      </c>
      <c r="AD753" s="793" t="s">
        <v>910</v>
      </c>
      <c r="AE753" s="820" t="s">
        <v>331</v>
      </c>
      <c r="AF753" s="860" t="s">
        <v>61</v>
      </c>
      <c r="AG753" s="820" t="s">
        <v>331</v>
      </c>
      <c r="AH753" s="960" t="s">
        <v>61</v>
      </c>
      <c r="AI753" s="918" t="s">
        <v>2954</v>
      </c>
    </row>
    <row r="754" spans="1:35" ht="39" x14ac:dyDescent="0.25">
      <c r="A754" s="18" t="s">
        <v>2955</v>
      </c>
      <c r="B754" s="19" t="s">
        <v>40</v>
      </c>
      <c r="C754" s="19" t="s">
        <v>2626</v>
      </c>
      <c r="D754" s="19" t="s">
        <v>2947</v>
      </c>
      <c r="E754" s="19" t="s">
        <v>2956</v>
      </c>
      <c r="F754" s="20"/>
      <c r="G754" s="21" t="s">
        <v>2957</v>
      </c>
      <c r="H754" s="18" t="s">
        <v>1853</v>
      </c>
      <c r="I754" s="19" t="s">
        <v>1272</v>
      </c>
      <c r="J754" s="210"/>
      <c r="K754" s="250"/>
      <c r="L754" s="251"/>
      <c r="M754" s="252"/>
      <c r="N754" s="253"/>
      <c r="O754" s="252"/>
      <c r="P754" s="254"/>
      <c r="Q754" s="418"/>
      <c r="R754" s="419"/>
      <c r="S754" s="420"/>
      <c r="T754" s="421"/>
      <c r="U754" s="420"/>
      <c r="V754" s="422"/>
      <c r="W754" s="597"/>
      <c r="X754" s="598"/>
      <c r="Y754" s="599"/>
      <c r="Z754" s="600"/>
      <c r="AA754" s="599"/>
      <c r="AB754" s="601"/>
      <c r="AC754" s="781"/>
      <c r="AD754" s="782"/>
      <c r="AE754" s="783"/>
      <c r="AF754" s="784"/>
      <c r="AG754" s="783"/>
      <c r="AH754" s="957"/>
      <c r="AI754" s="913"/>
    </row>
    <row r="755" spans="1:35" ht="65.25" thickBot="1" x14ac:dyDescent="0.3">
      <c r="A755" s="190" t="s">
        <v>2958</v>
      </c>
      <c r="B755" s="191" t="s">
        <v>40</v>
      </c>
      <c r="C755" s="191" t="s">
        <v>2626</v>
      </c>
      <c r="D755" s="191" t="s">
        <v>2947</v>
      </c>
      <c r="E755" s="191"/>
      <c r="F755" s="192" t="s">
        <v>1291</v>
      </c>
      <c r="G755" s="193" t="s">
        <v>2959</v>
      </c>
      <c r="H755" s="190" t="s">
        <v>61</v>
      </c>
      <c r="I755" s="191" t="s">
        <v>61</v>
      </c>
      <c r="J755" s="228"/>
      <c r="K755" s="382"/>
      <c r="L755" s="383"/>
      <c r="M755" s="384"/>
      <c r="N755" s="385"/>
      <c r="O755" s="384"/>
      <c r="P755" s="386"/>
      <c r="Q755" s="562"/>
      <c r="R755" s="563"/>
      <c r="S755" s="564"/>
      <c r="T755" s="565"/>
      <c r="U755" s="564"/>
      <c r="V755" s="566"/>
      <c r="W755" s="748"/>
      <c r="X755" s="749"/>
      <c r="Y755" s="750"/>
      <c r="Z755" s="751"/>
      <c r="AA755" s="750"/>
      <c r="AB755" s="752"/>
      <c r="AC755" s="896"/>
      <c r="AD755" s="897"/>
      <c r="AE755" s="898"/>
      <c r="AF755" s="899"/>
      <c r="AG755" s="898"/>
      <c r="AH755" s="990"/>
      <c r="AI755" s="949"/>
    </row>
    <row r="756" spans="1:35" ht="39" x14ac:dyDescent="0.25">
      <c r="A756" s="13" t="s">
        <v>2960</v>
      </c>
      <c r="B756" s="14" t="s">
        <v>40</v>
      </c>
      <c r="C756" s="14" t="s">
        <v>2961</v>
      </c>
      <c r="D756" s="14" t="s">
        <v>2962</v>
      </c>
      <c r="E756" s="14" t="s">
        <v>2847</v>
      </c>
      <c r="F756" s="15"/>
      <c r="G756" s="16" t="s">
        <v>2963</v>
      </c>
      <c r="H756" s="13" t="s">
        <v>2964</v>
      </c>
      <c r="I756" s="14" t="s">
        <v>89</v>
      </c>
      <c r="J756" s="209"/>
      <c r="K756" s="245"/>
      <c r="L756" s="246"/>
      <c r="M756" s="247"/>
      <c r="N756" s="248"/>
      <c r="O756" s="247"/>
      <c r="P756" s="249"/>
      <c r="Q756" s="413"/>
      <c r="R756" s="414"/>
      <c r="S756" s="415"/>
      <c r="T756" s="416"/>
      <c r="U756" s="415"/>
      <c r="V756" s="417"/>
      <c r="W756" s="592"/>
      <c r="X756" s="593"/>
      <c r="Y756" s="594"/>
      <c r="Z756" s="595"/>
      <c r="AA756" s="594"/>
      <c r="AB756" s="596"/>
      <c r="AC756" s="777"/>
      <c r="AD756" s="778"/>
      <c r="AE756" s="779"/>
      <c r="AF756" s="780"/>
      <c r="AG756" s="779"/>
      <c r="AH756" s="956"/>
      <c r="AI756" s="912"/>
    </row>
    <row r="757" spans="1:35" ht="39" x14ac:dyDescent="0.25">
      <c r="A757" s="18" t="s">
        <v>2965</v>
      </c>
      <c r="B757" s="19" t="s">
        <v>40</v>
      </c>
      <c r="C757" s="19" t="s">
        <v>2961</v>
      </c>
      <c r="D757" s="19" t="s">
        <v>2962</v>
      </c>
      <c r="E757" s="19" t="s">
        <v>2851</v>
      </c>
      <c r="F757" s="20"/>
      <c r="G757" s="21" t="s">
        <v>2966</v>
      </c>
      <c r="H757" s="18" t="s">
        <v>331</v>
      </c>
      <c r="I757" s="19" t="s">
        <v>2967</v>
      </c>
      <c r="J757" s="210"/>
      <c r="K757" s="250"/>
      <c r="L757" s="251"/>
      <c r="M757" s="252"/>
      <c r="N757" s="253"/>
      <c r="O757" s="252"/>
      <c r="P757" s="254"/>
      <c r="Q757" s="418"/>
      <c r="R757" s="419"/>
      <c r="S757" s="420"/>
      <c r="T757" s="421"/>
      <c r="U757" s="420"/>
      <c r="V757" s="422"/>
      <c r="W757" s="597"/>
      <c r="X757" s="598"/>
      <c r="Y757" s="599"/>
      <c r="Z757" s="600"/>
      <c r="AA757" s="599"/>
      <c r="AB757" s="601"/>
      <c r="AC757" s="781"/>
      <c r="AD757" s="782"/>
      <c r="AE757" s="783"/>
      <c r="AF757" s="784"/>
      <c r="AG757" s="783"/>
      <c r="AH757" s="957"/>
      <c r="AI757" s="913"/>
    </row>
    <row r="758" spans="1:35" ht="30" x14ac:dyDescent="0.25">
      <c r="A758" s="27" t="s">
        <v>2968</v>
      </c>
      <c r="B758" s="28" t="s">
        <v>40</v>
      </c>
      <c r="C758" s="28" t="s">
        <v>2961</v>
      </c>
      <c r="D758" s="28" t="s">
        <v>2962</v>
      </c>
      <c r="E758" s="28"/>
      <c r="F758" s="29" t="s">
        <v>2962</v>
      </c>
      <c r="G758" s="30" t="s">
        <v>2962</v>
      </c>
      <c r="H758" s="27" t="s">
        <v>2091</v>
      </c>
      <c r="I758" s="28" t="s">
        <v>432</v>
      </c>
      <c r="J758" s="211"/>
      <c r="K758" s="261">
        <v>77</v>
      </c>
      <c r="L758" s="262" t="s">
        <v>1341</v>
      </c>
      <c r="M758" s="283">
        <f>(1051917/20000)-K758</f>
        <v>-24.404150000000001</v>
      </c>
      <c r="N758" s="284">
        <f>13681/20000</f>
        <v>0.68405000000000005</v>
      </c>
      <c r="O758" s="283">
        <f>(1051917/10000)-K758</f>
        <v>28.191699999999997</v>
      </c>
      <c r="P758" s="285">
        <f>13681/10000</f>
        <v>1.3681000000000001</v>
      </c>
      <c r="Q758" s="431">
        <v>51</v>
      </c>
      <c r="R758" s="432" t="s">
        <v>2969</v>
      </c>
      <c r="S758" s="455">
        <f>(578509/20000)-Q758</f>
        <v>-22.074549999999999</v>
      </c>
      <c r="T758" s="456">
        <f>11345/20000</f>
        <v>0.56725000000000003</v>
      </c>
      <c r="U758" s="455">
        <f>(578592/10000)-Q758</f>
        <v>6.8592000000000013</v>
      </c>
      <c r="V758" s="457">
        <f>11345/10000</f>
        <v>1.1345000000000001</v>
      </c>
      <c r="W758" s="611">
        <v>9</v>
      </c>
      <c r="X758" s="612" t="s">
        <v>2970</v>
      </c>
      <c r="Y758" s="621">
        <f>(189789/20000)-W758</f>
        <v>0.48944999999999972</v>
      </c>
      <c r="Z758" s="622">
        <f>21088/20000</f>
        <v>1.0544</v>
      </c>
      <c r="AA758" s="621">
        <f>(189789/10000)-W758</f>
        <v>9.9788999999999994</v>
      </c>
      <c r="AB758" s="623">
        <f>21088/10000</f>
        <v>2.1088</v>
      </c>
      <c r="AC758" s="792">
        <v>17</v>
      </c>
      <c r="AD758" s="793" t="s">
        <v>2971</v>
      </c>
      <c r="AE758" s="806">
        <f>(263509/20000)-AC758</f>
        <v>-3.8245500000000003</v>
      </c>
      <c r="AF758" s="807">
        <f>15501/20000</f>
        <v>0.77505000000000002</v>
      </c>
      <c r="AG758" s="806">
        <f>(263509/10000)-AC758</f>
        <v>9.3508999999999993</v>
      </c>
      <c r="AH758" s="965">
        <f>15501/10000</f>
        <v>1.5501</v>
      </c>
      <c r="AI758" s="915" t="s">
        <v>2972</v>
      </c>
    </row>
    <row r="759" spans="1:35" ht="60" x14ac:dyDescent="0.25">
      <c r="A759" s="41" t="s">
        <v>2973</v>
      </c>
      <c r="B759" s="42" t="s">
        <v>40</v>
      </c>
      <c r="C759" s="42" t="s">
        <v>2961</v>
      </c>
      <c r="D759" s="42" t="s">
        <v>2974</v>
      </c>
      <c r="E759" s="42"/>
      <c r="F759" s="43" t="s">
        <v>2975</v>
      </c>
      <c r="G759" s="44" t="s">
        <v>2974</v>
      </c>
      <c r="H759" s="41" t="s">
        <v>2976</v>
      </c>
      <c r="I759" s="42" t="s">
        <v>276</v>
      </c>
      <c r="J759" s="211"/>
      <c r="K759" s="261">
        <v>24</v>
      </c>
      <c r="L759" s="262" t="s">
        <v>2977</v>
      </c>
      <c r="M759" s="266">
        <f>(1051917/15000)-K759</f>
        <v>46.127799999999993</v>
      </c>
      <c r="N759" s="267">
        <f>43830/15000</f>
        <v>2.9220000000000002</v>
      </c>
      <c r="O759" s="266">
        <f>(1051917/10000)-K759</f>
        <v>81.191699999999997</v>
      </c>
      <c r="P759" s="268">
        <f>43830/10000</f>
        <v>4.383</v>
      </c>
      <c r="Q759" s="431">
        <v>9</v>
      </c>
      <c r="R759" s="432" t="s">
        <v>1026</v>
      </c>
      <c r="S759" s="442">
        <f>(578592/15000)-Q759</f>
        <v>29.572800000000001</v>
      </c>
      <c r="T759" s="443">
        <f>64288/15000</f>
        <v>4.2858666666666663</v>
      </c>
      <c r="U759" s="442">
        <f>(578592/10000)-Q759</f>
        <v>48.859200000000001</v>
      </c>
      <c r="V759" s="444">
        <f>64288/10000</f>
        <v>6.4287999999999998</v>
      </c>
      <c r="W759" s="611">
        <v>4</v>
      </c>
      <c r="X759" s="612" t="s">
        <v>69</v>
      </c>
      <c r="Y759" s="627">
        <f>(189789/15000)-W759</f>
        <v>8.6525999999999996</v>
      </c>
      <c r="Z759" s="642">
        <f>47447/15000</f>
        <v>3.1631333333333331</v>
      </c>
      <c r="AA759" s="627">
        <f>(189789/10000)-W759</f>
        <v>14.978899999999999</v>
      </c>
      <c r="AB759" s="643">
        <f>47447/10000</f>
        <v>4.7446999999999999</v>
      </c>
      <c r="AC759" s="792">
        <v>11</v>
      </c>
      <c r="AD759" s="793" t="s">
        <v>2978</v>
      </c>
      <c r="AE759" s="799">
        <f>(263509/15000)-AC759</f>
        <v>6.567266666666665</v>
      </c>
      <c r="AF759" s="817">
        <f>23955/15000</f>
        <v>1.597</v>
      </c>
      <c r="AG759" s="799">
        <f>(263509/10000)-AC759</f>
        <v>15.350899999999999</v>
      </c>
      <c r="AH759" s="968">
        <f>23955/10000</f>
        <v>2.3955000000000002</v>
      </c>
      <c r="AI759" s="918" t="s">
        <v>2979</v>
      </c>
    </row>
    <row r="760" spans="1:35" ht="26.25" x14ac:dyDescent="0.25">
      <c r="A760" s="18" t="s">
        <v>2980</v>
      </c>
      <c r="B760" s="19" t="s">
        <v>40</v>
      </c>
      <c r="C760" s="19" t="s">
        <v>2961</v>
      </c>
      <c r="D760" s="19" t="s">
        <v>2981</v>
      </c>
      <c r="E760" s="19"/>
      <c r="F760" s="20"/>
      <c r="G760" s="21" t="s">
        <v>2981</v>
      </c>
      <c r="H760" s="18" t="s">
        <v>1455</v>
      </c>
      <c r="I760" s="19" t="s">
        <v>191</v>
      </c>
      <c r="J760" s="210"/>
      <c r="K760" s="250"/>
      <c r="L760" s="251"/>
      <c r="M760" s="252"/>
      <c r="N760" s="253"/>
      <c r="O760" s="252"/>
      <c r="P760" s="254"/>
      <c r="Q760" s="418"/>
      <c r="R760" s="419"/>
      <c r="S760" s="420"/>
      <c r="T760" s="421"/>
      <c r="U760" s="420"/>
      <c r="V760" s="422"/>
      <c r="W760" s="597"/>
      <c r="X760" s="598"/>
      <c r="Y760" s="599"/>
      <c r="Z760" s="600"/>
      <c r="AA760" s="599"/>
      <c r="AB760" s="601"/>
      <c r="AC760" s="781"/>
      <c r="AD760" s="782"/>
      <c r="AE760" s="783"/>
      <c r="AF760" s="784"/>
      <c r="AG760" s="783"/>
      <c r="AH760" s="957"/>
      <c r="AI760" s="913"/>
    </row>
    <row r="761" spans="1:35" ht="51.75" x14ac:dyDescent="0.25">
      <c r="A761" s="110" t="s">
        <v>2982</v>
      </c>
      <c r="B761" s="111" t="s">
        <v>40</v>
      </c>
      <c r="C761" s="111" t="s">
        <v>2961</v>
      </c>
      <c r="D761" s="111" t="s">
        <v>2983</v>
      </c>
      <c r="E761" s="111"/>
      <c r="F761" s="112" t="s">
        <v>2983</v>
      </c>
      <c r="G761" s="184" t="s">
        <v>1262</v>
      </c>
      <c r="H761" s="110"/>
      <c r="I761" s="111"/>
      <c r="J761" s="210"/>
      <c r="K761" s="250"/>
      <c r="L761" s="251"/>
      <c r="M761" s="252"/>
      <c r="N761" s="253"/>
      <c r="O761" s="252"/>
      <c r="P761" s="254"/>
      <c r="Q761" s="418"/>
      <c r="R761" s="419"/>
      <c r="S761" s="420"/>
      <c r="T761" s="421"/>
      <c r="U761" s="420"/>
      <c r="V761" s="422"/>
      <c r="W761" s="597"/>
      <c r="X761" s="598"/>
      <c r="Y761" s="599"/>
      <c r="Z761" s="600"/>
      <c r="AA761" s="599"/>
      <c r="AB761" s="601"/>
      <c r="AC761" s="781"/>
      <c r="AD761" s="782"/>
      <c r="AE761" s="783"/>
      <c r="AF761" s="784"/>
      <c r="AG761" s="783"/>
      <c r="AH761" s="957"/>
      <c r="AI761" s="931"/>
    </row>
    <row r="762" spans="1:35" ht="26.25" x14ac:dyDescent="0.25">
      <c r="A762" s="18" t="s">
        <v>2984</v>
      </c>
      <c r="B762" s="19" t="s">
        <v>40</v>
      </c>
      <c r="C762" s="19" t="s">
        <v>2961</v>
      </c>
      <c r="D762" s="19" t="s">
        <v>2947</v>
      </c>
      <c r="E762" s="19" t="s">
        <v>2985</v>
      </c>
      <c r="F762" s="20"/>
      <c r="G762" s="21" t="s">
        <v>2985</v>
      </c>
      <c r="H762" s="18" t="s">
        <v>1857</v>
      </c>
      <c r="I762" s="19" t="s">
        <v>83</v>
      </c>
      <c r="J762" s="210"/>
      <c r="K762" s="250"/>
      <c r="L762" s="251"/>
      <c r="M762" s="252"/>
      <c r="N762" s="253"/>
      <c r="O762" s="252"/>
      <c r="P762" s="254"/>
      <c r="Q762" s="418"/>
      <c r="R762" s="419"/>
      <c r="S762" s="420"/>
      <c r="T762" s="421"/>
      <c r="U762" s="420"/>
      <c r="V762" s="422"/>
      <c r="W762" s="597"/>
      <c r="X762" s="598"/>
      <c r="Y762" s="599"/>
      <c r="Z762" s="600"/>
      <c r="AA762" s="599"/>
      <c r="AB762" s="601"/>
      <c r="AC762" s="781"/>
      <c r="AD762" s="782"/>
      <c r="AE762" s="783"/>
      <c r="AF762" s="784"/>
      <c r="AG762" s="783"/>
      <c r="AH762" s="957"/>
      <c r="AI762" s="913"/>
    </row>
    <row r="763" spans="1:35" ht="26.25" x14ac:dyDescent="0.25">
      <c r="A763" s="18" t="s">
        <v>2986</v>
      </c>
      <c r="B763" s="19" t="s">
        <v>40</v>
      </c>
      <c r="C763" s="19" t="s">
        <v>2961</v>
      </c>
      <c r="D763" s="19" t="s">
        <v>2947</v>
      </c>
      <c r="E763" s="19" t="s">
        <v>2987</v>
      </c>
      <c r="F763" s="20"/>
      <c r="G763" s="21" t="s">
        <v>2987</v>
      </c>
      <c r="H763" s="18" t="s">
        <v>2988</v>
      </c>
      <c r="I763" s="19" t="s">
        <v>432</v>
      </c>
      <c r="J763" s="210"/>
      <c r="K763" s="250"/>
      <c r="L763" s="251"/>
      <c r="M763" s="252"/>
      <c r="N763" s="253"/>
      <c r="O763" s="252"/>
      <c r="P763" s="254"/>
      <c r="Q763" s="418"/>
      <c r="R763" s="419"/>
      <c r="S763" s="420"/>
      <c r="T763" s="421"/>
      <c r="U763" s="420"/>
      <c r="V763" s="422"/>
      <c r="W763" s="597"/>
      <c r="X763" s="598"/>
      <c r="Y763" s="599"/>
      <c r="Z763" s="600"/>
      <c r="AA763" s="599"/>
      <c r="AB763" s="601"/>
      <c r="AC763" s="781"/>
      <c r="AD763" s="782"/>
      <c r="AE763" s="783"/>
      <c r="AF763" s="784"/>
      <c r="AG763" s="783"/>
      <c r="AH763" s="957"/>
      <c r="AI763" s="913"/>
    </row>
    <row r="764" spans="1:35" ht="39" x14ac:dyDescent="0.25">
      <c r="A764" s="18" t="s">
        <v>2989</v>
      </c>
      <c r="B764" s="19" t="s">
        <v>40</v>
      </c>
      <c r="C764" s="19" t="s">
        <v>2961</v>
      </c>
      <c r="D764" s="19" t="s">
        <v>2947</v>
      </c>
      <c r="E764" s="19"/>
      <c r="F764" s="20"/>
      <c r="G764" s="21" t="s">
        <v>2990</v>
      </c>
      <c r="H764" s="18" t="s">
        <v>2991</v>
      </c>
      <c r="I764" s="19" t="s">
        <v>276</v>
      </c>
      <c r="J764" s="210"/>
      <c r="K764" s="250"/>
      <c r="L764" s="251"/>
      <c r="M764" s="252"/>
      <c r="N764" s="253"/>
      <c r="O764" s="252"/>
      <c r="P764" s="254"/>
      <c r="Q764" s="418"/>
      <c r="R764" s="419"/>
      <c r="S764" s="420"/>
      <c r="T764" s="421"/>
      <c r="U764" s="420"/>
      <c r="V764" s="422"/>
      <c r="W764" s="597"/>
      <c r="X764" s="598"/>
      <c r="Y764" s="599"/>
      <c r="Z764" s="600"/>
      <c r="AA764" s="599"/>
      <c r="AB764" s="601"/>
      <c r="AC764" s="781"/>
      <c r="AD764" s="782"/>
      <c r="AE764" s="783"/>
      <c r="AF764" s="784"/>
      <c r="AG764" s="783"/>
      <c r="AH764" s="957"/>
      <c r="AI764" s="913"/>
    </row>
    <row r="765" spans="1:35" ht="64.5" x14ac:dyDescent="0.25">
      <c r="A765" s="110" t="s">
        <v>2992</v>
      </c>
      <c r="B765" s="111" t="s">
        <v>40</v>
      </c>
      <c r="C765" s="111" t="s">
        <v>2961</v>
      </c>
      <c r="D765" s="111" t="s">
        <v>2993</v>
      </c>
      <c r="E765" s="111"/>
      <c r="F765" s="112" t="s">
        <v>2993</v>
      </c>
      <c r="G765" s="184" t="s">
        <v>1262</v>
      </c>
      <c r="H765" s="110"/>
      <c r="I765" s="111"/>
      <c r="J765" s="210"/>
      <c r="K765" s="250"/>
      <c r="L765" s="251"/>
      <c r="M765" s="252"/>
      <c r="N765" s="253"/>
      <c r="O765" s="252"/>
      <c r="P765" s="254"/>
      <c r="Q765" s="418"/>
      <c r="R765" s="419"/>
      <c r="S765" s="420"/>
      <c r="T765" s="421"/>
      <c r="U765" s="420"/>
      <c r="V765" s="422"/>
      <c r="W765" s="597"/>
      <c r="X765" s="598"/>
      <c r="Y765" s="599"/>
      <c r="Z765" s="600"/>
      <c r="AA765" s="599"/>
      <c r="AB765" s="601"/>
      <c r="AC765" s="781"/>
      <c r="AD765" s="782"/>
      <c r="AE765" s="783"/>
      <c r="AF765" s="784"/>
      <c r="AG765" s="783"/>
      <c r="AH765" s="957"/>
      <c r="AI765" s="931"/>
    </row>
    <row r="766" spans="1:35" ht="51.75" x14ac:dyDescent="0.25">
      <c r="A766" s="110" t="s">
        <v>2994</v>
      </c>
      <c r="B766" s="111" t="s">
        <v>40</v>
      </c>
      <c r="C766" s="111" t="s">
        <v>2961</v>
      </c>
      <c r="D766" s="111" t="s">
        <v>2995</v>
      </c>
      <c r="E766" s="111"/>
      <c r="F766" s="112" t="s">
        <v>2995</v>
      </c>
      <c r="G766" s="184" t="s">
        <v>1262</v>
      </c>
      <c r="H766" s="110"/>
      <c r="I766" s="111"/>
      <c r="J766" s="210"/>
      <c r="K766" s="250"/>
      <c r="L766" s="251"/>
      <c r="M766" s="252"/>
      <c r="N766" s="253"/>
      <c r="O766" s="252"/>
      <c r="P766" s="254"/>
      <c r="Q766" s="418"/>
      <c r="R766" s="419"/>
      <c r="S766" s="420"/>
      <c r="T766" s="421"/>
      <c r="U766" s="420"/>
      <c r="V766" s="422"/>
      <c r="W766" s="597"/>
      <c r="X766" s="598"/>
      <c r="Y766" s="599"/>
      <c r="Z766" s="600"/>
      <c r="AA766" s="599"/>
      <c r="AB766" s="601"/>
      <c r="AC766" s="781"/>
      <c r="AD766" s="782"/>
      <c r="AE766" s="783"/>
      <c r="AF766" s="784"/>
      <c r="AG766" s="783"/>
      <c r="AH766" s="957"/>
      <c r="AI766" s="931"/>
    </row>
    <row r="767" spans="1:35" ht="51.75" x14ac:dyDescent="0.25">
      <c r="A767" s="120" t="s">
        <v>2996</v>
      </c>
      <c r="B767" s="121" t="s">
        <v>40</v>
      </c>
      <c r="C767" s="121" t="s">
        <v>2961</v>
      </c>
      <c r="D767" s="121" t="s">
        <v>2997</v>
      </c>
      <c r="E767" s="121"/>
      <c r="F767" s="93" t="s">
        <v>2998</v>
      </c>
      <c r="G767" s="184" t="s">
        <v>1262</v>
      </c>
      <c r="H767" s="120"/>
      <c r="I767" s="121"/>
      <c r="J767" s="220"/>
      <c r="K767" s="320"/>
      <c r="L767" s="321"/>
      <c r="M767" s="322"/>
      <c r="N767" s="323"/>
      <c r="O767" s="322"/>
      <c r="P767" s="324"/>
      <c r="Q767" s="495"/>
      <c r="R767" s="496"/>
      <c r="S767" s="497"/>
      <c r="T767" s="498"/>
      <c r="U767" s="497"/>
      <c r="V767" s="499"/>
      <c r="W767" s="679"/>
      <c r="X767" s="680"/>
      <c r="Y767" s="681"/>
      <c r="Z767" s="682"/>
      <c r="AA767" s="681"/>
      <c r="AB767" s="683"/>
      <c r="AC767" s="842"/>
      <c r="AD767" s="843"/>
      <c r="AE767" s="844"/>
      <c r="AF767" s="845"/>
      <c r="AG767" s="844"/>
      <c r="AH767" s="975"/>
      <c r="AI767" s="933"/>
    </row>
    <row r="768" spans="1:35" ht="75.75" thickBot="1" x14ac:dyDescent="0.3">
      <c r="A768" s="149" t="s">
        <v>2999</v>
      </c>
      <c r="B768" s="150" t="s">
        <v>40</v>
      </c>
      <c r="C768" s="150" t="s">
        <v>2961</v>
      </c>
      <c r="D768" s="150" t="s">
        <v>3000</v>
      </c>
      <c r="E768" s="150"/>
      <c r="F768" s="127" t="s">
        <v>3000</v>
      </c>
      <c r="G768" s="151" t="s">
        <v>3000</v>
      </c>
      <c r="H768" s="149" t="s">
        <v>3001</v>
      </c>
      <c r="I768" s="150" t="s">
        <v>276</v>
      </c>
      <c r="J768" s="223"/>
      <c r="K768" s="338">
        <v>638</v>
      </c>
      <c r="L768" s="339" t="s">
        <v>3002</v>
      </c>
      <c r="M768" s="387">
        <f>(1051917/15000)-K768</f>
        <v>-567.87220000000002</v>
      </c>
      <c r="N768" s="388">
        <f>1649/15000</f>
        <v>0.10993333333333333</v>
      </c>
      <c r="O768" s="387">
        <f>(1051917/10000)-K768</f>
        <v>-532.80830000000003</v>
      </c>
      <c r="P768" s="389">
        <f>1649/10000</f>
        <v>0.16489999999999999</v>
      </c>
      <c r="Q768" s="513">
        <v>396</v>
      </c>
      <c r="R768" s="514" t="s">
        <v>3003</v>
      </c>
      <c r="S768" s="567">
        <f>(578592/15000)-Q768</f>
        <v>-357.42719999999997</v>
      </c>
      <c r="T768" s="568">
        <f>1461/15000</f>
        <v>9.74E-2</v>
      </c>
      <c r="U768" s="567">
        <f>(578592/10000)-Q768</f>
        <v>-338.14080000000001</v>
      </c>
      <c r="V768" s="569">
        <f>1461/10000</f>
        <v>0.14610000000000001</v>
      </c>
      <c r="W768" s="697">
        <v>81</v>
      </c>
      <c r="X768" s="698" t="s">
        <v>3004</v>
      </c>
      <c r="Y768" s="753">
        <f>(189789/15000)-W768</f>
        <v>-68.347399999999993</v>
      </c>
      <c r="Z768" s="754">
        <f>2343/15000</f>
        <v>0.15620000000000001</v>
      </c>
      <c r="AA768" s="753">
        <f>(189789/10000)-W768</f>
        <v>-62.021100000000004</v>
      </c>
      <c r="AB768" s="755">
        <f>2343/10000</f>
        <v>0.23430000000000001</v>
      </c>
      <c r="AC768" s="856">
        <v>161</v>
      </c>
      <c r="AD768" s="857" t="s">
        <v>3005</v>
      </c>
      <c r="AE768" s="900">
        <f>(263509/15000)-AC768</f>
        <v>-143.43273333333335</v>
      </c>
      <c r="AF768" s="901">
        <f>1637/15000</f>
        <v>0.10913333333333333</v>
      </c>
      <c r="AG768" s="900">
        <f>(263509/10000)-AC768</f>
        <v>-134.6491</v>
      </c>
      <c r="AH768" s="991">
        <f>1637/10000</f>
        <v>0.16370000000000001</v>
      </c>
      <c r="AI768" s="938" t="s">
        <v>3006</v>
      </c>
    </row>
    <row r="769" spans="1:35" ht="51.75" x14ac:dyDescent="0.25">
      <c r="A769" s="194" t="s">
        <v>3007</v>
      </c>
      <c r="B769" s="195" t="s">
        <v>40</v>
      </c>
      <c r="C769" s="195" t="s">
        <v>3008</v>
      </c>
      <c r="D769" s="195" t="s">
        <v>3009</v>
      </c>
      <c r="E769" s="195"/>
      <c r="F769" s="196" t="s">
        <v>3010</v>
      </c>
      <c r="G769" s="197" t="s">
        <v>3009</v>
      </c>
      <c r="H769" s="194"/>
      <c r="I769" s="195"/>
      <c r="J769" s="218"/>
      <c r="K769" s="313"/>
      <c r="L769" s="314"/>
      <c r="M769" s="315"/>
      <c r="N769" s="316"/>
      <c r="O769" s="315"/>
      <c r="P769" s="317"/>
      <c r="Q769" s="485"/>
      <c r="R769" s="486"/>
      <c r="S769" s="487"/>
      <c r="T769" s="488"/>
      <c r="U769" s="487"/>
      <c r="V769" s="489"/>
      <c r="W769" s="672"/>
      <c r="X769" s="673"/>
      <c r="Y769" s="674"/>
      <c r="Z769" s="675"/>
      <c r="AA769" s="674"/>
      <c r="AB769" s="676"/>
      <c r="AC769" s="836"/>
      <c r="AD769" s="837"/>
      <c r="AE769" s="838"/>
      <c r="AF769" s="839"/>
      <c r="AG769" s="838"/>
      <c r="AH769" s="974"/>
      <c r="AI769" s="950" t="s">
        <v>3011</v>
      </c>
    </row>
    <row r="770" spans="1:35" ht="45" x14ac:dyDescent="0.25">
      <c r="A770" s="41" t="s">
        <v>3012</v>
      </c>
      <c r="B770" s="42" t="s">
        <v>40</v>
      </c>
      <c r="C770" s="42" t="s">
        <v>3013</v>
      </c>
      <c r="D770" s="42" t="s">
        <v>3014</v>
      </c>
      <c r="E770" s="42" t="s">
        <v>3015</v>
      </c>
      <c r="F770" s="43" t="s">
        <v>3014</v>
      </c>
      <c r="G770" s="44" t="s">
        <v>3014</v>
      </c>
      <c r="H770" s="41" t="s">
        <v>2222</v>
      </c>
      <c r="I770" s="42" t="s">
        <v>1272</v>
      </c>
      <c r="J770" s="211"/>
      <c r="K770" s="261">
        <v>5</v>
      </c>
      <c r="L770" s="262" t="s">
        <v>505</v>
      </c>
      <c r="M770" s="293" t="s">
        <v>331</v>
      </c>
      <c r="N770" s="343" t="s">
        <v>61</v>
      </c>
      <c r="O770" s="293" t="s">
        <v>331</v>
      </c>
      <c r="P770" s="294" t="s">
        <v>61</v>
      </c>
      <c r="Q770" s="431">
        <v>4</v>
      </c>
      <c r="R770" s="432" t="s">
        <v>184</v>
      </c>
      <c r="S770" s="465" t="s">
        <v>331</v>
      </c>
      <c r="T770" s="518" t="s">
        <v>61</v>
      </c>
      <c r="U770" s="465" t="s">
        <v>331</v>
      </c>
      <c r="V770" s="466" t="s">
        <v>61</v>
      </c>
      <c r="W770" s="641">
        <v>0</v>
      </c>
      <c r="X770" s="612" t="s">
        <v>61</v>
      </c>
      <c r="Y770" s="652" t="s">
        <v>331</v>
      </c>
      <c r="Z770" s="702" t="s">
        <v>61</v>
      </c>
      <c r="AA770" s="652" t="s">
        <v>331</v>
      </c>
      <c r="AB770" s="616" t="s">
        <v>61</v>
      </c>
      <c r="AC770" s="792">
        <v>1</v>
      </c>
      <c r="AD770" s="793" t="s">
        <v>150</v>
      </c>
      <c r="AE770" s="820" t="s">
        <v>331</v>
      </c>
      <c r="AF770" s="860" t="s">
        <v>61</v>
      </c>
      <c r="AG770" s="820" t="s">
        <v>331</v>
      </c>
      <c r="AH770" s="960" t="s">
        <v>61</v>
      </c>
      <c r="AI770" s="918" t="s">
        <v>3016</v>
      </c>
    </row>
    <row r="771" spans="1:35" ht="64.5" x14ac:dyDescent="0.25">
      <c r="A771" s="32" t="s">
        <v>3017</v>
      </c>
      <c r="B771" s="33" t="s">
        <v>40</v>
      </c>
      <c r="C771" s="33" t="s">
        <v>3013</v>
      </c>
      <c r="D771" s="33" t="s">
        <v>3018</v>
      </c>
      <c r="E771" s="33"/>
      <c r="F771" s="34" t="s">
        <v>1291</v>
      </c>
      <c r="G771" s="35" t="s">
        <v>3018</v>
      </c>
      <c r="H771" s="32" t="s">
        <v>3019</v>
      </c>
      <c r="I771" s="33" t="s">
        <v>1272</v>
      </c>
      <c r="J771" s="210"/>
      <c r="K771" s="250"/>
      <c r="L771" s="251"/>
      <c r="M771" s="252"/>
      <c r="N771" s="253"/>
      <c r="O771" s="252"/>
      <c r="P771" s="254"/>
      <c r="Q771" s="418"/>
      <c r="R771" s="419"/>
      <c r="S771" s="420"/>
      <c r="T771" s="421"/>
      <c r="U771" s="420"/>
      <c r="V771" s="422"/>
      <c r="W771" s="597"/>
      <c r="X771" s="598"/>
      <c r="Y771" s="599"/>
      <c r="Z771" s="600"/>
      <c r="AA771" s="599"/>
      <c r="AB771" s="601"/>
      <c r="AC771" s="781"/>
      <c r="AD771" s="782"/>
      <c r="AE771" s="783"/>
      <c r="AF771" s="784"/>
      <c r="AG771" s="783"/>
      <c r="AH771" s="957"/>
      <c r="AI771" s="916" t="s">
        <v>3020</v>
      </c>
    </row>
    <row r="772" spans="1:35" ht="26.25" x14ac:dyDescent="0.25">
      <c r="A772" s="18" t="s">
        <v>3021</v>
      </c>
      <c r="B772" s="19" t="s">
        <v>40</v>
      </c>
      <c r="C772" s="19" t="s">
        <v>3013</v>
      </c>
      <c r="D772" s="19" t="s">
        <v>3022</v>
      </c>
      <c r="E772" s="19" t="s">
        <v>3023</v>
      </c>
      <c r="F772" s="20"/>
      <c r="G772" s="21" t="s">
        <v>3024</v>
      </c>
      <c r="H772" s="18" t="s">
        <v>3025</v>
      </c>
      <c r="I772" s="19" t="s">
        <v>1272</v>
      </c>
      <c r="J772" s="210"/>
      <c r="K772" s="250"/>
      <c r="L772" s="251"/>
      <c r="M772" s="252"/>
      <c r="N772" s="253"/>
      <c r="O772" s="252"/>
      <c r="P772" s="254"/>
      <c r="Q772" s="418"/>
      <c r="R772" s="419"/>
      <c r="S772" s="420"/>
      <c r="T772" s="421"/>
      <c r="U772" s="420"/>
      <c r="V772" s="422"/>
      <c r="W772" s="597"/>
      <c r="X772" s="598"/>
      <c r="Y772" s="599"/>
      <c r="Z772" s="600"/>
      <c r="AA772" s="599"/>
      <c r="AB772" s="601"/>
      <c r="AC772" s="781"/>
      <c r="AD772" s="782"/>
      <c r="AE772" s="783"/>
      <c r="AF772" s="784"/>
      <c r="AG772" s="783"/>
      <c r="AH772" s="957"/>
      <c r="AI772" s="913" t="s">
        <v>3026</v>
      </c>
    </row>
    <row r="773" spans="1:35" ht="39" x14ac:dyDescent="0.25">
      <c r="A773" s="18" t="s">
        <v>3027</v>
      </c>
      <c r="B773" s="19" t="s">
        <v>40</v>
      </c>
      <c r="C773" s="19" t="s">
        <v>3013</v>
      </c>
      <c r="D773" s="19" t="s">
        <v>3022</v>
      </c>
      <c r="E773" s="19" t="s">
        <v>3028</v>
      </c>
      <c r="F773" s="20"/>
      <c r="G773" s="21" t="s">
        <v>3029</v>
      </c>
      <c r="H773" s="18" t="s">
        <v>331</v>
      </c>
      <c r="I773" s="19" t="s">
        <v>1272</v>
      </c>
      <c r="J773" s="210"/>
      <c r="K773" s="250"/>
      <c r="L773" s="251"/>
      <c r="M773" s="252"/>
      <c r="N773" s="253"/>
      <c r="O773" s="252"/>
      <c r="P773" s="254"/>
      <c r="Q773" s="418"/>
      <c r="R773" s="419"/>
      <c r="S773" s="420"/>
      <c r="T773" s="421"/>
      <c r="U773" s="420"/>
      <c r="V773" s="422"/>
      <c r="W773" s="597"/>
      <c r="X773" s="598"/>
      <c r="Y773" s="599"/>
      <c r="Z773" s="600"/>
      <c r="AA773" s="599"/>
      <c r="AB773" s="601"/>
      <c r="AC773" s="781"/>
      <c r="AD773" s="782"/>
      <c r="AE773" s="783"/>
      <c r="AF773" s="784"/>
      <c r="AG773" s="783"/>
      <c r="AH773" s="957"/>
      <c r="AI773" s="913" t="s">
        <v>3026</v>
      </c>
    </row>
    <row r="774" spans="1:35" ht="51.75" x14ac:dyDescent="0.25">
      <c r="A774" s="18" t="s">
        <v>3030</v>
      </c>
      <c r="B774" s="19" t="s">
        <v>40</v>
      </c>
      <c r="C774" s="19" t="s">
        <v>3013</v>
      </c>
      <c r="D774" s="19" t="s">
        <v>3022</v>
      </c>
      <c r="E774" s="19" t="s">
        <v>3031</v>
      </c>
      <c r="F774" s="20"/>
      <c r="G774" s="21" t="s">
        <v>3032</v>
      </c>
      <c r="H774" s="18" t="s">
        <v>331</v>
      </c>
      <c r="I774" s="19" t="s">
        <v>1272</v>
      </c>
      <c r="J774" s="210"/>
      <c r="K774" s="250"/>
      <c r="L774" s="251"/>
      <c r="M774" s="252"/>
      <c r="N774" s="253"/>
      <c r="O774" s="252"/>
      <c r="P774" s="254"/>
      <c r="Q774" s="418"/>
      <c r="R774" s="419"/>
      <c r="S774" s="420"/>
      <c r="T774" s="421"/>
      <c r="U774" s="420"/>
      <c r="V774" s="422"/>
      <c r="W774" s="597"/>
      <c r="X774" s="598"/>
      <c r="Y774" s="599"/>
      <c r="Z774" s="600"/>
      <c r="AA774" s="599"/>
      <c r="AB774" s="601"/>
      <c r="AC774" s="781"/>
      <c r="AD774" s="782"/>
      <c r="AE774" s="783"/>
      <c r="AF774" s="784"/>
      <c r="AG774" s="783"/>
      <c r="AH774" s="957"/>
      <c r="AI774" s="913" t="s">
        <v>3033</v>
      </c>
    </row>
    <row r="775" spans="1:35" ht="26.25" x14ac:dyDescent="0.25">
      <c r="A775" s="18" t="s">
        <v>3034</v>
      </c>
      <c r="B775" s="19" t="s">
        <v>40</v>
      </c>
      <c r="C775" s="19" t="s">
        <v>3013</v>
      </c>
      <c r="D775" s="19" t="s">
        <v>3022</v>
      </c>
      <c r="E775" s="19" t="s">
        <v>3035</v>
      </c>
      <c r="F775" s="20"/>
      <c r="G775" s="21" t="s">
        <v>3036</v>
      </c>
      <c r="H775" s="18" t="s">
        <v>3037</v>
      </c>
      <c r="I775" s="19" t="s">
        <v>276</v>
      </c>
      <c r="J775" s="210"/>
      <c r="K775" s="250"/>
      <c r="L775" s="251"/>
      <c r="M775" s="252"/>
      <c r="N775" s="253"/>
      <c r="O775" s="252"/>
      <c r="P775" s="254"/>
      <c r="Q775" s="418"/>
      <c r="R775" s="419"/>
      <c r="S775" s="420"/>
      <c r="T775" s="421"/>
      <c r="U775" s="420"/>
      <c r="V775" s="422"/>
      <c r="W775" s="597"/>
      <c r="X775" s="598"/>
      <c r="Y775" s="599"/>
      <c r="Z775" s="600"/>
      <c r="AA775" s="599"/>
      <c r="AB775" s="601"/>
      <c r="AC775" s="781"/>
      <c r="AD775" s="782"/>
      <c r="AE775" s="783"/>
      <c r="AF775" s="784"/>
      <c r="AG775" s="783"/>
      <c r="AH775" s="957"/>
      <c r="AI775" s="913" t="s">
        <v>3026</v>
      </c>
    </row>
    <row r="776" spans="1:35" ht="39" x14ac:dyDescent="0.25">
      <c r="A776" s="18" t="s">
        <v>3038</v>
      </c>
      <c r="B776" s="19" t="s">
        <v>40</v>
      </c>
      <c r="C776" s="19" t="s">
        <v>3013</v>
      </c>
      <c r="D776" s="19" t="s">
        <v>3022</v>
      </c>
      <c r="E776" s="19" t="s">
        <v>3039</v>
      </c>
      <c r="F776" s="20"/>
      <c r="G776" s="21" t="s">
        <v>3040</v>
      </c>
      <c r="H776" s="18" t="s">
        <v>3041</v>
      </c>
      <c r="I776" s="19" t="s">
        <v>276</v>
      </c>
      <c r="J776" s="210"/>
      <c r="K776" s="250"/>
      <c r="L776" s="251"/>
      <c r="M776" s="252"/>
      <c r="N776" s="253"/>
      <c r="O776" s="252"/>
      <c r="P776" s="254"/>
      <c r="Q776" s="418"/>
      <c r="R776" s="419"/>
      <c r="S776" s="420"/>
      <c r="T776" s="421"/>
      <c r="U776" s="420"/>
      <c r="V776" s="422"/>
      <c r="W776" s="597"/>
      <c r="X776" s="598"/>
      <c r="Y776" s="599"/>
      <c r="Z776" s="600"/>
      <c r="AA776" s="599"/>
      <c r="AB776" s="601"/>
      <c r="AC776" s="781"/>
      <c r="AD776" s="782"/>
      <c r="AE776" s="783"/>
      <c r="AF776" s="784"/>
      <c r="AG776" s="783"/>
      <c r="AH776" s="957"/>
      <c r="AI776" s="913" t="s">
        <v>3042</v>
      </c>
    </row>
    <row r="777" spans="1:35" ht="26.25" x14ac:dyDescent="0.25">
      <c r="A777" s="18" t="s">
        <v>3043</v>
      </c>
      <c r="B777" s="19" t="s">
        <v>40</v>
      </c>
      <c r="C777" s="19" t="s">
        <v>3013</v>
      </c>
      <c r="D777" s="19" t="s">
        <v>3022</v>
      </c>
      <c r="E777" s="19" t="s">
        <v>3044</v>
      </c>
      <c r="F777" s="20"/>
      <c r="G777" s="21" t="s">
        <v>3045</v>
      </c>
      <c r="H777" s="18" t="s">
        <v>2923</v>
      </c>
      <c r="I777" s="19" t="s">
        <v>276</v>
      </c>
      <c r="J777" s="210"/>
      <c r="K777" s="250"/>
      <c r="L777" s="251"/>
      <c r="M777" s="252"/>
      <c r="N777" s="253"/>
      <c r="O777" s="252"/>
      <c r="P777" s="254"/>
      <c r="Q777" s="418"/>
      <c r="R777" s="419"/>
      <c r="S777" s="420"/>
      <c r="T777" s="421"/>
      <c r="U777" s="420"/>
      <c r="V777" s="422"/>
      <c r="W777" s="597"/>
      <c r="X777" s="598"/>
      <c r="Y777" s="599"/>
      <c r="Z777" s="600"/>
      <c r="AA777" s="599"/>
      <c r="AB777" s="601"/>
      <c r="AC777" s="781"/>
      <c r="AD777" s="782"/>
      <c r="AE777" s="783"/>
      <c r="AF777" s="784"/>
      <c r="AG777" s="783"/>
      <c r="AH777" s="957"/>
      <c r="AI777" s="913" t="s">
        <v>3026</v>
      </c>
    </row>
    <row r="778" spans="1:35" ht="39" x14ac:dyDescent="0.25">
      <c r="A778" s="18" t="s">
        <v>3046</v>
      </c>
      <c r="B778" s="19" t="s">
        <v>40</v>
      </c>
      <c r="C778" s="19" t="s">
        <v>3013</v>
      </c>
      <c r="D778" s="19" t="s">
        <v>3022</v>
      </c>
      <c r="E778" s="19" t="s">
        <v>3047</v>
      </c>
      <c r="F778" s="20"/>
      <c r="G778" s="21" t="s">
        <v>3048</v>
      </c>
      <c r="H778" s="18" t="s">
        <v>2782</v>
      </c>
      <c r="I778" s="19" t="s">
        <v>191</v>
      </c>
      <c r="J778" s="210"/>
      <c r="K778" s="250"/>
      <c r="L778" s="251"/>
      <c r="M778" s="252"/>
      <c r="N778" s="253"/>
      <c r="O778" s="252"/>
      <c r="P778" s="254"/>
      <c r="Q778" s="418"/>
      <c r="R778" s="419"/>
      <c r="S778" s="420"/>
      <c r="T778" s="421"/>
      <c r="U778" s="420"/>
      <c r="V778" s="422"/>
      <c r="W778" s="597"/>
      <c r="X778" s="598"/>
      <c r="Y778" s="599"/>
      <c r="Z778" s="600"/>
      <c r="AA778" s="599"/>
      <c r="AB778" s="601"/>
      <c r="AC778" s="781"/>
      <c r="AD778" s="782"/>
      <c r="AE778" s="783"/>
      <c r="AF778" s="784"/>
      <c r="AG778" s="783"/>
      <c r="AH778" s="957"/>
      <c r="AI778" s="913" t="s">
        <v>3026</v>
      </c>
    </row>
    <row r="779" spans="1:35" ht="26.25" x14ac:dyDescent="0.25">
      <c r="A779" s="18" t="s">
        <v>3049</v>
      </c>
      <c r="B779" s="19" t="s">
        <v>40</v>
      </c>
      <c r="C779" s="19" t="s">
        <v>3013</v>
      </c>
      <c r="D779" s="19" t="s">
        <v>3022</v>
      </c>
      <c r="E779" s="19" t="s">
        <v>3050</v>
      </c>
      <c r="F779" s="20"/>
      <c r="G779" s="21" t="s">
        <v>3051</v>
      </c>
      <c r="H779" s="18" t="s">
        <v>2877</v>
      </c>
      <c r="I779" s="19" t="s">
        <v>191</v>
      </c>
      <c r="J779" s="210"/>
      <c r="K779" s="250"/>
      <c r="L779" s="251"/>
      <c r="M779" s="252"/>
      <c r="N779" s="253"/>
      <c r="O779" s="252"/>
      <c r="P779" s="254"/>
      <c r="Q779" s="418"/>
      <c r="R779" s="419"/>
      <c r="S779" s="420"/>
      <c r="T779" s="421"/>
      <c r="U779" s="420"/>
      <c r="V779" s="422"/>
      <c r="W779" s="597"/>
      <c r="X779" s="598"/>
      <c r="Y779" s="599"/>
      <c r="Z779" s="600"/>
      <c r="AA779" s="599"/>
      <c r="AB779" s="601"/>
      <c r="AC779" s="781"/>
      <c r="AD779" s="782"/>
      <c r="AE779" s="783"/>
      <c r="AF779" s="784"/>
      <c r="AG779" s="783"/>
      <c r="AH779" s="957"/>
      <c r="AI779" s="913" t="s">
        <v>3052</v>
      </c>
    </row>
    <row r="780" spans="1:35" ht="26.25" x14ac:dyDescent="0.25">
      <c r="A780" s="18" t="s">
        <v>3053</v>
      </c>
      <c r="B780" s="19" t="s">
        <v>40</v>
      </c>
      <c r="C780" s="19" t="s">
        <v>3013</v>
      </c>
      <c r="D780" s="19" t="s">
        <v>3022</v>
      </c>
      <c r="E780" s="19" t="s">
        <v>3054</v>
      </c>
      <c r="F780" s="20"/>
      <c r="G780" s="21" t="s">
        <v>3055</v>
      </c>
      <c r="H780" s="18" t="s">
        <v>2091</v>
      </c>
      <c r="I780" s="19" t="s">
        <v>126</v>
      </c>
      <c r="J780" s="210"/>
      <c r="K780" s="250"/>
      <c r="L780" s="251"/>
      <c r="M780" s="252"/>
      <c r="N780" s="253"/>
      <c r="O780" s="252"/>
      <c r="P780" s="254"/>
      <c r="Q780" s="418"/>
      <c r="R780" s="419"/>
      <c r="S780" s="420"/>
      <c r="T780" s="421"/>
      <c r="U780" s="420"/>
      <c r="V780" s="422"/>
      <c r="W780" s="597"/>
      <c r="X780" s="598"/>
      <c r="Y780" s="599"/>
      <c r="Z780" s="600"/>
      <c r="AA780" s="599"/>
      <c r="AB780" s="601"/>
      <c r="AC780" s="781"/>
      <c r="AD780" s="782"/>
      <c r="AE780" s="783"/>
      <c r="AF780" s="784"/>
      <c r="AG780" s="783"/>
      <c r="AH780" s="957"/>
      <c r="AI780" s="913" t="s">
        <v>3026</v>
      </c>
    </row>
    <row r="781" spans="1:35" ht="26.25" x14ac:dyDescent="0.25">
      <c r="A781" s="18" t="s">
        <v>3056</v>
      </c>
      <c r="B781" s="19" t="s">
        <v>40</v>
      </c>
      <c r="C781" s="19" t="s">
        <v>3013</v>
      </c>
      <c r="D781" s="19" t="s">
        <v>3022</v>
      </c>
      <c r="E781" s="19" t="s">
        <v>3057</v>
      </c>
      <c r="F781" s="20"/>
      <c r="G781" s="21" t="s">
        <v>3058</v>
      </c>
      <c r="H781" s="18" t="s">
        <v>1695</v>
      </c>
      <c r="I781" s="19" t="s">
        <v>556</v>
      </c>
      <c r="J781" s="210"/>
      <c r="K781" s="250"/>
      <c r="L781" s="251"/>
      <c r="M781" s="252"/>
      <c r="N781" s="253"/>
      <c r="O781" s="252"/>
      <c r="P781" s="254"/>
      <c r="Q781" s="418"/>
      <c r="R781" s="419"/>
      <c r="S781" s="420"/>
      <c r="T781" s="421"/>
      <c r="U781" s="420"/>
      <c r="V781" s="422"/>
      <c r="W781" s="597"/>
      <c r="X781" s="598"/>
      <c r="Y781" s="599"/>
      <c r="Z781" s="600"/>
      <c r="AA781" s="599"/>
      <c r="AB781" s="601"/>
      <c r="AC781" s="781"/>
      <c r="AD781" s="782"/>
      <c r="AE781" s="783"/>
      <c r="AF781" s="784"/>
      <c r="AG781" s="783"/>
      <c r="AH781" s="957"/>
      <c r="AI781" s="913" t="s">
        <v>3026</v>
      </c>
    </row>
    <row r="782" spans="1:35" ht="26.25" x14ac:dyDescent="0.25">
      <c r="A782" s="18" t="s">
        <v>3059</v>
      </c>
      <c r="B782" s="19" t="s">
        <v>40</v>
      </c>
      <c r="C782" s="19" t="s">
        <v>3013</v>
      </c>
      <c r="D782" s="19" t="s">
        <v>3022</v>
      </c>
      <c r="E782" s="19" t="s">
        <v>3060</v>
      </c>
      <c r="F782" s="20"/>
      <c r="G782" s="21" t="s">
        <v>3061</v>
      </c>
      <c r="H782" s="18" t="s">
        <v>1343</v>
      </c>
      <c r="I782" s="19" t="s">
        <v>276</v>
      </c>
      <c r="J782" s="210"/>
      <c r="K782" s="250"/>
      <c r="L782" s="251"/>
      <c r="M782" s="252"/>
      <c r="N782" s="253"/>
      <c r="O782" s="252"/>
      <c r="P782" s="254"/>
      <c r="Q782" s="418"/>
      <c r="R782" s="419"/>
      <c r="S782" s="420"/>
      <c r="T782" s="421"/>
      <c r="U782" s="420"/>
      <c r="V782" s="422"/>
      <c r="W782" s="597"/>
      <c r="X782" s="598"/>
      <c r="Y782" s="599"/>
      <c r="Z782" s="600"/>
      <c r="AA782" s="599"/>
      <c r="AB782" s="601"/>
      <c r="AC782" s="781"/>
      <c r="AD782" s="782"/>
      <c r="AE782" s="783"/>
      <c r="AF782" s="784"/>
      <c r="AG782" s="783"/>
      <c r="AH782" s="957"/>
      <c r="AI782" s="913" t="s">
        <v>3042</v>
      </c>
    </row>
    <row r="783" spans="1:35" ht="26.25" x14ac:dyDescent="0.25">
      <c r="A783" s="18" t="s">
        <v>3062</v>
      </c>
      <c r="B783" s="19" t="s">
        <v>40</v>
      </c>
      <c r="C783" s="19" t="s">
        <v>3013</v>
      </c>
      <c r="D783" s="19" t="s">
        <v>3022</v>
      </c>
      <c r="E783" s="19" t="s">
        <v>3063</v>
      </c>
      <c r="F783" s="20"/>
      <c r="G783" s="21" t="s">
        <v>3064</v>
      </c>
      <c r="H783" s="18" t="s">
        <v>3065</v>
      </c>
      <c r="I783" s="19" t="s">
        <v>3066</v>
      </c>
      <c r="J783" s="210"/>
      <c r="K783" s="250"/>
      <c r="L783" s="251"/>
      <c r="M783" s="252"/>
      <c r="N783" s="253"/>
      <c r="O783" s="252"/>
      <c r="P783" s="254"/>
      <c r="Q783" s="418"/>
      <c r="R783" s="419"/>
      <c r="S783" s="420"/>
      <c r="T783" s="421"/>
      <c r="U783" s="420"/>
      <c r="V783" s="422"/>
      <c r="W783" s="597"/>
      <c r="X783" s="598"/>
      <c r="Y783" s="599"/>
      <c r="Z783" s="600"/>
      <c r="AA783" s="599"/>
      <c r="AB783" s="601"/>
      <c r="AC783" s="781"/>
      <c r="AD783" s="782"/>
      <c r="AE783" s="783"/>
      <c r="AF783" s="784"/>
      <c r="AG783" s="783"/>
      <c r="AH783" s="957"/>
      <c r="AI783" s="913" t="s">
        <v>3052</v>
      </c>
    </row>
    <row r="784" spans="1:35" ht="39" x14ac:dyDescent="0.25">
      <c r="A784" s="18" t="s">
        <v>3067</v>
      </c>
      <c r="B784" s="19" t="s">
        <v>40</v>
      </c>
      <c r="C784" s="19" t="s">
        <v>3013</v>
      </c>
      <c r="D784" s="19" t="s">
        <v>3022</v>
      </c>
      <c r="E784" s="19" t="s">
        <v>3068</v>
      </c>
      <c r="F784" s="20"/>
      <c r="G784" s="21" t="s">
        <v>3069</v>
      </c>
      <c r="H784" s="18" t="s">
        <v>3070</v>
      </c>
      <c r="I784" s="19" t="s">
        <v>276</v>
      </c>
      <c r="J784" s="210"/>
      <c r="K784" s="250"/>
      <c r="L784" s="251"/>
      <c r="M784" s="252"/>
      <c r="N784" s="253"/>
      <c r="O784" s="252"/>
      <c r="P784" s="254"/>
      <c r="Q784" s="418"/>
      <c r="R784" s="419"/>
      <c r="S784" s="420"/>
      <c r="T784" s="421"/>
      <c r="U784" s="420"/>
      <c r="V784" s="422"/>
      <c r="W784" s="597"/>
      <c r="X784" s="598"/>
      <c r="Y784" s="599"/>
      <c r="Z784" s="600"/>
      <c r="AA784" s="599"/>
      <c r="AB784" s="601"/>
      <c r="AC784" s="781"/>
      <c r="AD784" s="782"/>
      <c r="AE784" s="783"/>
      <c r="AF784" s="784"/>
      <c r="AG784" s="783"/>
      <c r="AH784" s="957"/>
      <c r="AI784" s="913" t="s">
        <v>3026</v>
      </c>
    </row>
    <row r="785" spans="1:35" ht="64.5" x14ac:dyDescent="0.25">
      <c r="A785" s="172" t="s">
        <v>3071</v>
      </c>
      <c r="B785" s="173" t="s">
        <v>40</v>
      </c>
      <c r="C785" s="173" t="s">
        <v>3013</v>
      </c>
      <c r="D785" s="173" t="s">
        <v>3022</v>
      </c>
      <c r="E785" s="173"/>
      <c r="F785" s="174" t="s">
        <v>1291</v>
      </c>
      <c r="G785" s="175" t="s">
        <v>3022</v>
      </c>
      <c r="H785" s="172" t="s">
        <v>1490</v>
      </c>
      <c r="I785" s="173" t="s">
        <v>556</v>
      </c>
      <c r="J785" s="210"/>
      <c r="K785" s="250"/>
      <c r="L785" s="251"/>
      <c r="M785" s="252"/>
      <c r="N785" s="253"/>
      <c r="O785" s="252"/>
      <c r="P785" s="254"/>
      <c r="Q785" s="418"/>
      <c r="R785" s="419"/>
      <c r="S785" s="420"/>
      <c r="T785" s="421"/>
      <c r="U785" s="420"/>
      <c r="V785" s="422"/>
      <c r="W785" s="597"/>
      <c r="X785" s="598"/>
      <c r="Y785" s="599"/>
      <c r="Z785" s="600"/>
      <c r="AA785" s="599"/>
      <c r="AB785" s="601"/>
      <c r="AC785" s="781"/>
      <c r="AD785" s="782"/>
      <c r="AE785" s="783"/>
      <c r="AF785" s="784"/>
      <c r="AG785" s="783"/>
      <c r="AH785" s="957"/>
      <c r="AI785" s="944" t="s">
        <v>3026</v>
      </c>
    </row>
    <row r="786" spans="1:35" ht="64.5" x14ac:dyDescent="0.25">
      <c r="A786" s="32" t="s">
        <v>3072</v>
      </c>
      <c r="B786" s="33" t="s">
        <v>40</v>
      </c>
      <c r="C786" s="33" t="s">
        <v>3013</v>
      </c>
      <c r="D786" s="33" t="s">
        <v>3073</v>
      </c>
      <c r="E786" s="33"/>
      <c r="F786" s="34" t="s">
        <v>1291</v>
      </c>
      <c r="G786" s="35" t="s">
        <v>3073</v>
      </c>
      <c r="H786" s="32" t="s">
        <v>2162</v>
      </c>
      <c r="I786" s="33" t="s">
        <v>89</v>
      </c>
      <c r="J786" s="210"/>
      <c r="K786" s="250"/>
      <c r="L786" s="251"/>
      <c r="M786" s="252"/>
      <c r="N786" s="253"/>
      <c r="O786" s="252"/>
      <c r="P786" s="254"/>
      <c r="Q786" s="418"/>
      <c r="R786" s="419"/>
      <c r="S786" s="420"/>
      <c r="T786" s="421"/>
      <c r="U786" s="420"/>
      <c r="V786" s="422"/>
      <c r="W786" s="597"/>
      <c r="X786" s="598"/>
      <c r="Y786" s="599"/>
      <c r="Z786" s="600"/>
      <c r="AA786" s="599"/>
      <c r="AB786" s="601"/>
      <c r="AC786" s="781"/>
      <c r="AD786" s="782"/>
      <c r="AE786" s="783"/>
      <c r="AF786" s="784"/>
      <c r="AG786" s="783"/>
      <c r="AH786" s="957"/>
      <c r="AI786" s="916" t="s">
        <v>3074</v>
      </c>
    </row>
    <row r="787" spans="1:35" ht="26.25" x14ac:dyDescent="0.25">
      <c r="A787" s="18" t="s">
        <v>3075</v>
      </c>
      <c r="B787" s="19" t="s">
        <v>40</v>
      </c>
      <c r="C787" s="19" t="s">
        <v>3013</v>
      </c>
      <c r="D787" s="19" t="s">
        <v>3076</v>
      </c>
      <c r="E787" s="19" t="s">
        <v>3077</v>
      </c>
      <c r="F787" s="20"/>
      <c r="G787" s="21" t="s">
        <v>3078</v>
      </c>
      <c r="H787" s="18" t="s">
        <v>3079</v>
      </c>
      <c r="I787" s="19" t="s">
        <v>89</v>
      </c>
      <c r="J787" s="210"/>
      <c r="K787" s="250"/>
      <c r="L787" s="251"/>
      <c r="M787" s="252"/>
      <c r="N787" s="253"/>
      <c r="O787" s="252"/>
      <c r="P787" s="254"/>
      <c r="Q787" s="418"/>
      <c r="R787" s="419"/>
      <c r="S787" s="420"/>
      <c r="T787" s="421"/>
      <c r="U787" s="420"/>
      <c r="V787" s="422"/>
      <c r="W787" s="597"/>
      <c r="X787" s="598"/>
      <c r="Y787" s="599"/>
      <c r="Z787" s="600"/>
      <c r="AA787" s="599"/>
      <c r="AB787" s="601"/>
      <c r="AC787" s="781"/>
      <c r="AD787" s="782"/>
      <c r="AE787" s="783"/>
      <c r="AF787" s="784"/>
      <c r="AG787" s="783"/>
      <c r="AH787" s="957"/>
      <c r="AI787" s="913" t="s">
        <v>3080</v>
      </c>
    </row>
    <row r="788" spans="1:35" ht="39" x14ac:dyDescent="0.25">
      <c r="A788" s="18" t="s">
        <v>3081</v>
      </c>
      <c r="B788" s="19" t="s">
        <v>40</v>
      </c>
      <c r="C788" s="19" t="s">
        <v>3013</v>
      </c>
      <c r="D788" s="19" t="s">
        <v>3076</v>
      </c>
      <c r="E788" s="19" t="s">
        <v>3060</v>
      </c>
      <c r="F788" s="20"/>
      <c r="G788" s="21" t="s">
        <v>3082</v>
      </c>
      <c r="H788" s="18" t="s">
        <v>3066</v>
      </c>
      <c r="I788" s="19" t="s">
        <v>191</v>
      </c>
      <c r="J788" s="210"/>
      <c r="K788" s="250"/>
      <c r="L788" s="251"/>
      <c r="M788" s="252"/>
      <c r="N788" s="253"/>
      <c r="O788" s="252"/>
      <c r="P788" s="254"/>
      <c r="Q788" s="418"/>
      <c r="R788" s="419"/>
      <c r="S788" s="420"/>
      <c r="T788" s="421"/>
      <c r="U788" s="420"/>
      <c r="V788" s="422"/>
      <c r="W788" s="597"/>
      <c r="X788" s="598"/>
      <c r="Y788" s="599"/>
      <c r="Z788" s="600"/>
      <c r="AA788" s="599"/>
      <c r="AB788" s="601"/>
      <c r="AC788" s="781"/>
      <c r="AD788" s="782"/>
      <c r="AE788" s="783"/>
      <c r="AF788" s="784"/>
      <c r="AG788" s="783"/>
      <c r="AH788" s="957"/>
      <c r="AI788" s="913" t="s">
        <v>3080</v>
      </c>
    </row>
    <row r="789" spans="1:35" ht="39" x14ac:dyDescent="0.25">
      <c r="A789" s="18" t="s">
        <v>3083</v>
      </c>
      <c r="B789" s="19" t="s">
        <v>40</v>
      </c>
      <c r="C789" s="19" t="s">
        <v>3013</v>
      </c>
      <c r="D789" s="19" t="s">
        <v>3076</v>
      </c>
      <c r="E789" s="19" t="s">
        <v>3084</v>
      </c>
      <c r="F789" s="20"/>
      <c r="G789" s="21" t="s">
        <v>3085</v>
      </c>
      <c r="H789" s="18" t="s">
        <v>1277</v>
      </c>
      <c r="I789" s="19" t="s">
        <v>191</v>
      </c>
      <c r="J789" s="210"/>
      <c r="K789" s="250"/>
      <c r="L789" s="251"/>
      <c r="M789" s="252"/>
      <c r="N789" s="253"/>
      <c r="O789" s="252"/>
      <c r="P789" s="254"/>
      <c r="Q789" s="418"/>
      <c r="R789" s="419"/>
      <c r="S789" s="420"/>
      <c r="T789" s="421"/>
      <c r="U789" s="420"/>
      <c r="V789" s="422"/>
      <c r="W789" s="597"/>
      <c r="X789" s="598"/>
      <c r="Y789" s="599"/>
      <c r="Z789" s="600"/>
      <c r="AA789" s="599"/>
      <c r="AB789" s="601"/>
      <c r="AC789" s="781"/>
      <c r="AD789" s="782"/>
      <c r="AE789" s="783"/>
      <c r="AF789" s="784"/>
      <c r="AG789" s="783"/>
      <c r="AH789" s="957"/>
      <c r="AI789" s="913" t="s">
        <v>3080</v>
      </c>
    </row>
    <row r="790" spans="1:35" ht="64.5" x14ac:dyDescent="0.25">
      <c r="A790" s="172" t="s">
        <v>3086</v>
      </c>
      <c r="B790" s="173" t="s">
        <v>40</v>
      </c>
      <c r="C790" s="173" t="s">
        <v>3013</v>
      </c>
      <c r="D790" s="173" t="s">
        <v>3076</v>
      </c>
      <c r="E790" s="173"/>
      <c r="F790" s="174" t="s">
        <v>1291</v>
      </c>
      <c r="G790" s="175" t="s">
        <v>3087</v>
      </c>
      <c r="H790" s="172" t="s">
        <v>3088</v>
      </c>
      <c r="I790" s="173" t="s">
        <v>191</v>
      </c>
      <c r="J790" s="210"/>
      <c r="K790" s="250"/>
      <c r="L790" s="251"/>
      <c r="M790" s="252"/>
      <c r="N790" s="253"/>
      <c r="O790" s="252"/>
      <c r="P790" s="254"/>
      <c r="Q790" s="418"/>
      <c r="R790" s="419"/>
      <c r="S790" s="420"/>
      <c r="T790" s="421"/>
      <c r="U790" s="420"/>
      <c r="V790" s="422"/>
      <c r="W790" s="597"/>
      <c r="X790" s="598"/>
      <c r="Y790" s="599"/>
      <c r="Z790" s="600"/>
      <c r="AA790" s="599"/>
      <c r="AB790" s="601"/>
      <c r="AC790" s="781"/>
      <c r="AD790" s="782"/>
      <c r="AE790" s="783"/>
      <c r="AF790" s="784"/>
      <c r="AG790" s="783"/>
      <c r="AH790" s="957"/>
      <c r="AI790" s="944" t="s">
        <v>3089</v>
      </c>
    </row>
    <row r="791" spans="1:35" ht="26.25" x14ac:dyDescent="0.25">
      <c r="A791" s="18" t="s">
        <v>3090</v>
      </c>
      <c r="B791" s="19" t="s">
        <v>40</v>
      </c>
      <c r="C791" s="19" t="s">
        <v>3013</v>
      </c>
      <c r="D791" s="19" t="s">
        <v>3091</v>
      </c>
      <c r="E791" s="19" t="s">
        <v>3092</v>
      </c>
      <c r="F791" s="20"/>
      <c r="G791" s="21" t="s">
        <v>3093</v>
      </c>
      <c r="H791" s="18" t="s">
        <v>3094</v>
      </c>
      <c r="I791" s="19" t="s">
        <v>89</v>
      </c>
      <c r="J791" s="210"/>
      <c r="K791" s="250"/>
      <c r="L791" s="251"/>
      <c r="M791" s="252"/>
      <c r="N791" s="253"/>
      <c r="O791" s="252"/>
      <c r="P791" s="254"/>
      <c r="Q791" s="418"/>
      <c r="R791" s="419"/>
      <c r="S791" s="420"/>
      <c r="T791" s="421"/>
      <c r="U791" s="420"/>
      <c r="V791" s="422"/>
      <c r="W791" s="597"/>
      <c r="X791" s="598"/>
      <c r="Y791" s="599"/>
      <c r="Z791" s="600"/>
      <c r="AA791" s="599"/>
      <c r="AB791" s="601"/>
      <c r="AC791" s="781"/>
      <c r="AD791" s="782"/>
      <c r="AE791" s="783"/>
      <c r="AF791" s="784"/>
      <c r="AG791" s="783"/>
      <c r="AH791" s="957"/>
      <c r="AI791" s="913" t="s">
        <v>3016</v>
      </c>
    </row>
    <row r="792" spans="1:35" ht="39" x14ac:dyDescent="0.25">
      <c r="A792" s="18" t="s">
        <v>3095</v>
      </c>
      <c r="B792" s="19" t="s">
        <v>40</v>
      </c>
      <c r="C792" s="19" t="s">
        <v>3013</v>
      </c>
      <c r="D792" s="19" t="s">
        <v>3091</v>
      </c>
      <c r="E792" s="19" t="s">
        <v>3096</v>
      </c>
      <c r="F792" s="20"/>
      <c r="G792" s="21" t="s">
        <v>3097</v>
      </c>
      <c r="H792" s="18" t="s">
        <v>1278</v>
      </c>
      <c r="I792" s="19" t="s">
        <v>52</v>
      </c>
      <c r="J792" s="210"/>
      <c r="K792" s="250"/>
      <c r="L792" s="251"/>
      <c r="M792" s="252"/>
      <c r="N792" s="253"/>
      <c r="O792" s="252"/>
      <c r="P792" s="254"/>
      <c r="Q792" s="418"/>
      <c r="R792" s="419"/>
      <c r="S792" s="420"/>
      <c r="T792" s="421"/>
      <c r="U792" s="420"/>
      <c r="V792" s="422"/>
      <c r="W792" s="597"/>
      <c r="X792" s="598"/>
      <c r="Y792" s="599"/>
      <c r="Z792" s="600"/>
      <c r="AA792" s="599"/>
      <c r="AB792" s="601"/>
      <c r="AC792" s="781"/>
      <c r="AD792" s="782"/>
      <c r="AE792" s="783"/>
      <c r="AF792" s="784"/>
      <c r="AG792" s="783"/>
      <c r="AH792" s="957"/>
      <c r="AI792" s="913" t="s">
        <v>3016</v>
      </c>
    </row>
    <row r="793" spans="1:35" ht="64.5" x14ac:dyDescent="0.25">
      <c r="A793" s="172" t="s">
        <v>3098</v>
      </c>
      <c r="B793" s="173" t="s">
        <v>40</v>
      </c>
      <c r="C793" s="173" t="s">
        <v>3013</v>
      </c>
      <c r="D793" s="173" t="s">
        <v>3091</v>
      </c>
      <c r="E793" s="173"/>
      <c r="F793" s="174" t="s">
        <v>1291</v>
      </c>
      <c r="G793" s="175" t="s">
        <v>3099</v>
      </c>
      <c r="H793" s="172" t="s">
        <v>3094</v>
      </c>
      <c r="I793" s="173" t="s">
        <v>89</v>
      </c>
      <c r="J793" s="210"/>
      <c r="K793" s="250"/>
      <c r="L793" s="251"/>
      <c r="M793" s="252"/>
      <c r="N793" s="253"/>
      <c r="O793" s="252"/>
      <c r="P793" s="254"/>
      <c r="Q793" s="418"/>
      <c r="R793" s="419"/>
      <c r="S793" s="420"/>
      <c r="T793" s="421"/>
      <c r="U793" s="420"/>
      <c r="V793" s="422"/>
      <c r="W793" s="597"/>
      <c r="X793" s="598"/>
      <c r="Y793" s="599"/>
      <c r="Z793" s="600"/>
      <c r="AA793" s="599"/>
      <c r="AB793" s="601"/>
      <c r="AC793" s="781"/>
      <c r="AD793" s="782"/>
      <c r="AE793" s="783"/>
      <c r="AF793" s="784"/>
      <c r="AG793" s="783"/>
      <c r="AH793" s="957"/>
      <c r="AI793" s="944" t="s">
        <v>3100</v>
      </c>
    </row>
    <row r="794" spans="1:35" ht="26.25" x14ac:dyDescent="0.25">
      <c r="A794" s="18" t="s">
        <v>3101</v>
      </c>
      <c r="B794" s="19" t="s">
        <v>40</v>
      </c>
      <c r="C794" s="19" t="s">
        <v>3013</v>
      </c>
      <c r="D794" s="19" t="s">
        <v>3102</v>
      </c>
      <c r="E794" s="19" t="s">
        <v>3103</v>
      </c>
      <c r="F794" s="20"/>
      <c r="G794" s="21" t="s">
        <v>3104</v>
      </c>
      <c r="H794" s="18" t="s">
        <v>3105</v>
      </c>
      <c r="I794" s="19" t="s">
        <v>213</v>
      </c>
      <c r="J794" s="210"/>
      <c r="K794" s="250"/>
      <c r="L794" s="251"/>
      <c r="M794" s="252"/>
      <c r="N794" s="253"/>
      <c r="O794" s="252"/>
      <c r="P794" s="254"/>
      <c r="Q794" s="418"/>
      <c r="R794" s="419"/>
      <c r="S794" s="420"/>
      <c r="T794" s="421"/>
      <c r="U794" s="420"/>
      <c r="V794" s="422"/>
      <c r="W794" s="597"/>
      <c r="X794" s="598"/>
      <c r="Y794" s="599"/>
      <c r="Z794" s="600"/>
      <c r="AA794" s="599"/>
      <c r="AB794" s="601"/>
      <c r="AC794" s="781"/>
      <c r="AD794" s="782"/>
      <c r="AE794" s="783"/>
      <c r="AF794" s="784"/>
      <c r="AG794" s="783"/>
      <c r="AH794" s="957"/>
      <c r="AI794" s="913" t="s">
        <v>3016</v>
      </c>
    </row>
    <row r="795" spans="1:35" ht="26.25" x14ac:dyDescent="0.25">
      <c r="A795" s="18" t="s">
        <v>3106</v>
      </c>
      <c r="B795" s="19" t="s">
        <v>40</v>
      </c>
      <c r="C795" s="19" t="s">
        <v>3013</v>
      </c>
      <c r="D795" s="19" t="s">
        <v>3102</v>
      </c>
      <c r="E795" s="19" t="s">
        <v>3107</v>
      </c>
      <c r="F795" s="20"/>
      <c r="G795" s="21" t="s">
        <v>3107</v>
      </c>
      <c r="H795" s="18" t="s">
        <v>3108</v>
      </c>
      <c r="I795" s="19" t="s">
        <v>83</v>
      </c>
      <c r="J795" s="210"/>
      <c r="K795" s="250"/>
      <c r="L795" s="251"/>
      <c r="M795" s="252"/>
      <c r="N795" s="253"/>
      <c r="O795" s="252"/>
      <c r="P795" s="254"/>
      <c r="Q795" s="418"/>
      <c r="R795" s="419"/>
      <c r="S795" s="420"/>
      <c r="T795" s="421"/>
      <c r="U795" s="420"/>
      <c r="V795" s="422"/>
      <c r="W795" s="597"/>
      <c r="X795" s="598"/>
      <c r="Y795" s="599"/>
      <c r="Z795" s="600"/>
      <c r="AA795" s="599"/>
      <c r="AB795" s="601"/>
      <c r="AC795" s="781"/>
      <c r="AD795" s="782"/>
      <c r="AE795" s="783"/>
      <c r="AF795" s="784"/>
      <c r="AG795" s="783"/>
      <c r="AH795" s="957"/>
      <c r="AI795" s="913" t="s">
        <v>2197</v>
      </c>
    </row>
    <row r="796" spans="1:35" ht="26.25" x14ac:dyDescent="0.25">
      <c r="A796" s="18" t="s">
        <v>3109</v>
      </c>
      <c r="B796" s="19" t="s">
        <v>40</v>
      </c>
      <c r="C796" s="19" t="s">
        <v>3013</v>
      </c>
      <c r="D796" s="19" t="s">
        <v>3102</v>
      </c>
      <c r="E796" s="19" t="s">
        <v>3110</v>
      </c>
      <c r="F796" s="20"/>
      <c r="G796" s="21" t="s">
        <v>3111</v>
      </c>
      <c r="H796" s="18" t="s">
        <v>3112</v>
      </c>
      <c r="I796" s="19" t="s">
        <v>83</v>
      </c>
      <c r="J796" s="210"/>
      <c r="K796" s="250"/>
      <c r="L796" s="251"/>
      <c r="M796" s="252"/>
      <c r="N796" s="253"/>
      <c r="O796" s="252"/>
      <c r="P796" s="254"/>
      <c r="Q796" s="418"/>
      <c r="R796" s="419"/>
      <c r="S796" s="420"/>
      <c r="T796" s="421"/>
      <c r="U796" s="420"/>
      <c r="V796" s="422"/>
      <c r="W796" s="597"/>
      <c r="X796" s="598"/>
      <c r="Y796" s="599"/>
      <c r="Z796" s="600"/>
      <c r="AA796" s="599"/>
      <c r="AB796" s="601"/>
      <c r="AC796" s="781"/>
      <c r="AD796" s="782"/>
      <c r="AE796" s="783"/>
      <c r="AF796" s="784"/>
      <c r="AG796" s="783"/>
      <c r="AH796" s="957"/>
      <c r="AI796" s="913" t="s">
        <v>3113</v>
      </c>
    </row>
    <row r="797" spans="1:35" ht="26.25" x14ac:dyDescent="0.25">
      <c r="A797" s="18" t="s">
        <v>3114</v>
      </c>
      <c r="B797" s="19" t="s">
        <v>40</v>
      </c>
      <c r="C797" s="19" t="s">
        <v>3013</v>
      </c>
      <c r="D797" s="19" t="s">
        <v>3102</v>
      </c>
      <c r="E797" s="19" t="s">
        <v>3115</v>
      </c>
      <c r="F797" s="20"/>
      <c r="G797" s="21" t="s">
        <v>3115</v>
      </c>
      <c r="H797" s="18" t="s">
        <v>3105</v>
      </c>
      <c r="I797" s="19" t="s">
        <v>213</v>
      </c>
      <c r="J797" s="210"/>
      <c r="K797" s="250"/>
      <c r="L797" s="251"/>
      <c r="M797" s="252"/>
      <c r="N797" s="253"/>
      <c r="O797" s="252"/>
      <c r="P797" s="254"/>
      <c r="Q797" s="418"/>
      <c r="R797" s="419"/>
      <c r="S797" s="420"/>
      <c r="T797" s="421"/>
      <c r="U797" s="420"/>
      <c r="V797" s="422"/>
      <c r="W797" s="597"/>
      <c r="X797" s="598"/>
      <c r="Y797" s="599"/>
      <c r="Z797" s="600"/>
      <c r="AA797" s="599"/>
      <c r="AB797" s="601"/>
      <c r="AC797" s="781"/>
      <c r="AD797" s="782"/>
      <c r="AE797" s="783"/>
      <c r="AF797" s="784"/>
      <c r="AG797" s="783"/>
      <c r="AH797" s="957"/>
      <c r="AI797" s="913" t="s">
        <v>3016</v>
      </c>
    </row>
    <row r="798" spans="1:35" ht="26.25" x14ac:dyDescent="0.25">
      <c r="A798" s="18" t="s">
        <v>3116</v>
      </c>
      <c r="B798" s="19" t="s">
        <v>40</v>
      </c>
      <c r="C798" s="19" t="s">
        <v>3013</v>
      </c>
      <c r="D798" s="19" t="s">
        <v>3102</v>
      </c>
      <c r="E798" s="19" t="s">
        <v>3117</v>
      </c>
      <c r="F798" s="20"/>
      <c r="G798" s="21" t="s">
        <v>3118</v>
      </c>
      <c r="H798" s="18" t="s">
        <v>3119</v>
      </c>
      <c r="I798" s="19" t="s">
        <v>89</v>
      </c>
      <c r="J798" s="210"/>
      <c r="K798" s="250"/>
      <c r="L798" s="251"/>
      <c r="M798" s="252"/>
      <c r="N798" s="253"/>
      <c r="O798" s="252"/>
      <c r="P798" s="254"/>
      <c r="Q798" s="418"/>
      <c r="R798" s="419"/>
      <c r="S798" s="420"/>
      <c r="T798" s="421"/>
      <c r="U798" s="420"/>
      <c r="V798" s="422"/>
      <c r="W798" s="597"/>
      <c r="X798" s="598"/>
      <c r="Y798" s="599"/>
      <c r="Z798" s="600"/>
      <c r="AA798" s="599"/>
      <c r="AB798" s="601"/>
      <c r="AC798" s="781"/>
      <c r="AD798" s="782"/>
      <c r="AE798" s="783"/>
      <c r="AF798" s="784"/>
      <c r="AG798" s="783"/>
      <c r="AH798" s="957"/>
      <c r="AI798" s="913" t="s">
        <v>3016</v>
      </c>
    </row>
    <row r="799" spans="1:35" ht="26.25" x14ac:dyDescent="0.25">
      <c r="A799" s="18" t="s">
        <v>3120</v>
      </c>
      <c r="B799" s="19" t="s">
        <v>40</v>
      </c>
      <c r="C799" s="19" t="s">
        <v>3013</v>
      </c>
      <c r="D799" s="19" t="s">
        <v>3102</v>
      </c>
      <c r="E799" s="19" t="s">
        <v>3121</v>
      </c>
      <c r="F799" s="20"/>
      <c r="G799" s="21" t="s">
        <v>3122</v>
      </c>
      <c r="H799" s="18" t="s">
        <v>3123</v>
      </c>
      <c r="I799" s="19" t="s">
        <v>83</v>
      </c>
      <c r="J799" s="210"/>
      <c r="K799" s="250"/>
      <c r="L799" s="251"/>
      <c r="M799" s="252"/>
      <c r="N799" s="253"/>
      <c r="O799" s="252"/>
      <c r="P799" s="254"/>
      <c r="Q799" s="418"/>
      <c r="R799" s="419"/>
      <c r="S799" s="420"/>
      <c r="T799" s="421"/>
      <c r="U799" s="420"/>
      <c r="V799" s="422"/>
      <c r="W799" s="597"/>
      <c r="X799" s="598"/>
      <c r="Y799" s="599"/>
      <c r="Z799" s="600"/>
      <c r="AA799" s="599"/>
      <c r="AB799" s="601"/>
      <c r="AC799" s="781"/>
      <c r="AD799" s="782"/>
      <c r="AE799" s="783"/>
      <c r="AF799" s="784"/>
      <c r="AG799" s="783"/>
      <c r="AH799" s="957"/>
      <c r="AI799" s="913"/>
    </row>
    <row r="800" spans="1:35" ht="26.25" x14ac:dyDescent="0.25">
      <c r="A800" s="18" t="s">
        <v>3124</v>
      </c>
      <c r="B800" s="19" t="s">
        <v>40</v>
      </c>
      <c r="C800" s="19" t="s">
        <v>3013</v>
      </c>
      <c r="D800" s="19" t="s">
        <v>3102</v>
      </c>
      <c r="E800" s="19" t="s">
        <v>3125</v>
      </c>
      <c r="F800" s="20"/>
      <c r="G800" s="21" t="s">
        <v>3126</v>
      </c>
      <c r="H800" s="18" t="s">
        <v>2964</v>
      </c>
      <c r="I800" s="19" t="s">
        <v>83</v>
      </c>
      <c r="J800" s="210"/>
      <c r="K800" s="250"/>
      <c r="L800" s="251"/>
      <c r="M800" s="252"/>
      <c r="N800" s="253"/>
      <c r="O800" s="252"/>
      <c r="P800" s="254"/>
      <c r="Q800" s="418"/>
      <c r="R800" s="419"/>
      <c r="S800" s="420"/>
      <c r="T800" s="421"/>
      <c r="U800" s="420"/>
      <c r="V800" s="422"/>
      <c r="W800" s="597"/>
      <c r="X800" s="598"/>
      <c r="Y800" s="599"/>
      <c r="Z800" s="600"/>
      <c r="AA800" s="599"/>
      <c r="AB800" s="601"/>
      <c r="AC800" s="781"/>
      <c r="AD800" s="782"/>
      <c r="AE800" s="783"/>
      <c r="AF800" s="784"/>
      <c r="AG800" s="783"/>
      <c r="AH800" s="957"/>
      <c r="AI800" s="913"/>
    </row>
    <row r="801" spans="1:35" ht="26.25" x14ac:dyDescent="0.25">
      <c r="A801" s="18" t="s">
        <v>3127</v>
      </c>
      <c r="B801" s="19" t="s">
        <v>40</v>
      </c>
      <c r="C801" s="19" t="s">
        <v>3013</v>
      </c>
      <c r="D801" s="19" t="s">
        <v>3102</v>
      </c>
      <c r="E801" s="19" t="s">
        <v>3128</v>
      </c>
      <c r="F801" s="20"/>
      <c r="G801" s="21" t="s">
        <v>3129</v>
      </c>
      <c r="H801" s="18" t="s">
        <v>151</v>
      </c>
      <c r="I801" s="19" t="s">
        <v>83</v>
      </c>
      <c r="J801" s="210"/>
      <c r="K801" s="250"/>
      <c r="L801" s="251"/>
      <c r="M801" s="252"/>
      <c r="N801" s="253"/>
      <c r="O801" s="252"/>
      <c r="P801" s="254"/>
      <c r="Q801" s="418"/>
      <c r="R801" s="419"/>
      <c r="S801" s="420"/>
      <c r="T801" s="421"/>
      <c r="U801" s="420"/>
      <c r="V801" s="422"/>
      <c r="W801" s="597"/>
      <c r="X801" s="598"/>
      <c r="Y801" s="599"/>
      <c r="Z801" s="600"/>
      <c r="AA801" s="599"/>
      <c r="AB801" s="601"/>
      <c r="AC801" s="781"/>
      <c r="AD801" s="782"/>
      <c r="AE801" s="783"/>
      <c r="AF801" s="784"/>
      <c r="AG801" s="783"/>
      <c r="AH801" s="957"/>
      <c r="AI801" s="913"/>
    </row>
    <row r="802" spans="1:35" ht="26.25" x14ac:dyDescent="0.25">
      <c r="A802" s="18" t="s">
        <v>3130</v>
      </c>
      <c r="B802" s="19" t="s">
        <v>40</v>
      </c>
      <c r="C802" s="19" t="s">
        <v>3013</v>
      </c>
      <c r="D802" s="19" t="s">
        <v>3102</v>
      </c>
      <c r="E802" s="19" t="s">
        <v>3131</v>
      </c>
      <c r="F802" s="20"/>
      <c r="G802" s="21" t="s">
        <v>3132</v>
      </c>
      <c r="H802" s="18" t="s">
        <v>3105</v>
      </c>
      <c r="I802" s="19" t="s">
        <v>213</v>
      </c>
      <c r="J802" s="210"/>
      <c r="K802" s="250"/>
      <c r="L802" s="251"/>
      <c r="M802" s="252"/>
      <c r="N802" s="253"/>
      <c r="O802" s="252"/>
      <c r="P802" s="254"/>
      <c r="Q802" s="418"/>
      <c r="R802" s="419"/>
      <c r="S802" s="420"/>
      <c r="T802" s="421"/>
      <c r="U802" s="420"/>
      <c r="V802" s="422"/>
      <c r="W802" s="597"/>
      <c r="X802" s="598"/>
      <c r="Y802" s="599"/>
      <c r="Z802" s="600"/>
      <c r="AA802" s="599"/>
      <c r="AB802" s="601"/>
      <c r="AC802" s="781"/>
      <c r="AD802" s="782"/>
      <c r="AE802" s="783"/>
      <c r="AF802" s="784"/>
      <c r="AG802" s="783"/>
      <c r="AH802" s="957"/>
      <c r="AI802" s="913" t="s">
        <v>3113</v>
      </c>
    </row>
    <row r="803" spans="1:35" ht="26.25" x14ac:dyDescent="0.25">
      <c r="A803" s="18" t="s">
        <v>3133</v>
      </c>
      <c r="B803" s="19" t="s">
        <v>40</v>
      </c>
      <c r="C803" s="19" t="s">
        <v>3013</v>
      </c>
      <c r="D803" s="19" t="s">
        <v>3102</v>
      </c>
      <c r="E803" s="19" t="s">
        <v>3134</v>
      </c>
      <c r="F803" s="20"/>
      <c r="G803" s="21" t="s">
        <v>3135</v>
      </c>
      <c r="H803" s="18" t="s">
        <v>3105</v>
      </c>
      <c r="I803" s="19" t="s">
        <v>213</v>
      </c>
      <c r="J803" s="210"/>
      <c r="K803" s="250"/>
      <c r="L803" s="251"/>
      <c r="M803" s="252"/>
      <c r="N803" s="253"/>
      <c r="O803" s="252"/>
      <c r="P803" s="254"/>
      <c r="Q803" s="418"/>
      <c r="R803" s="419"/>
      <c r="S803" s="420"/>
      <c r="T803" s="421"/>
      <c r="U803" s="420"/>
      <c r="V803" s="422"/>
      <c r="W803" s="597"/>
      <c r="X803" s="598"/>
      <c r="Y803" s="599"/>
      <c r="Z803" s="600"/>
      <c r="AA803" s="599"/>
      <c r="AB803" s="601"/>
      <c r="AC803" s="781"/>
      <c r="AD803" s="782"/>
      <c r="AE803" s="783"/>
      <c r="AF803" s="784"/>
      <c r="AG803" s="783"/>
      <c r="AH803" s="957"/>
      <c r="AI803" s="913" t="s">
        <v>3113</v>
      </c>
    </row>
    <row r="804" spans="1:35" ht="26.25" x14ac:dyDescent="0.25">
      <c r="A804" s="18" t="s">
        <v>3136</v>
      </c>
      <c r="B804" s="19" t="s">
        <v>40</v>
      </c>
      <c r="C804" s="19" t="s">
        <v>3013</v>
      </c>
      <c r="D804" s="19" t="s">
        <v>3102</v>
      </c>
      <c r="E804" s="19" t="s">
        <v>426</v>
      </c>
      <c r="F804" s="20"/>
      <c r="G804" s="21" t="s">
        <v>3137</v>
      </c>
      <c r="H804" s="18" t="s">
        <v>52</v>
      </c>
      <c r="I804" s="19" t="s">
        <v>432</v>
      </c>
      <c r="J804" s="210"/>
      <c r="K804" s="250"/>
      <c r="L804" s="251"/>
      <c r="M804" s="252"/>
      <c r="N804" s="253"/>
      <c r="O804" s="252"/>
      <c r="P804" s="254"/>
      <c r="Q804" s="418"/>
      <c r="R804" s="419"/>
      <c r="S804" s="420"/>
      <c r="T804" s="421"/>
      <c r="U804" s="420"/>
      <c r="V804" s="422"/>
      <c r="W804" s="597"/>
      <c r="X804" s="598"/>
      <c r="Y804" s="599"/>
      <c r="Z804" s="600"/>
      <c r="AA804" s="599"/>
      <c r="AB804" s="601"/>
      <c r="AC804" s="781"/>
      <c r="AD804" s="782"/>
      <c r="AE804" s="783"/>
      <c r="AF804" s="784"/>
      <c r="AG804" s="783"/>
      <c r="AH804" s="957"/>
      <c r="AI804" s="913"/>
    </row>
    <row r="805" spans="1:35" ht="26.25" x14ac:dyDescent="0.25">
      <c r="A805" s="18" t="s">
        <v>3138</v>
      </c>
      <c r="B805" s="19" t="s">
        <v>40</v>
      </c>
      <c r="C805" s="19" t="s">
        <v>3013</v>
      </c>
      <c r="D805" s="19" t="s">
        <v>3102</v>
      </c>
      <c r="E805" s="19" t="s">
        <v>3139</v>
      </c>
      <c r="F805" s="20"/>
      <c r="G805" s="21" t="s">
        <v>3139</v>
      </c>
      <c r="H805" s="18" t="s">
        <v>3140</v>
      </c>
      <c r="I805" s="19" t="s">
        <v>432</v>
      </c>
      <c r="J805" s="210"/>
      <c r="K805" s="250"/>
      <c r="L805" s="251"/>
      <c r="M805" s="252"/>
      <c r="N805" s="253"/>
      <c r="O805" s="252"/>
      <c r="P805" s="254"/>
      <c r="Q805" s="418"/>
      <c r="R805" s="419"/>
      <c r="S805" s="420"/>
      <c r="T805" s="421"/>
      <c r="U805" s="420"/>
      <c r="V805" s="422"/>
      <c r="W805" s="597"/>
      <c r="X805" s="598"/>
      <c r="Y805" s="599"/>
      <c r="Z805" s="600"/>
      <c r="AA805" s="599"/>
      <c r="AB805" s="601"/>
      <c r="AC805" s="781"/>
      <c r="AD805" s="782"/>
      <c r="AE805" s="783"/>
      <c r="AF805" s="784"/>
      <c r="AG805" s="783"/>
      <c r="AH805" s="957"/>
      <c r="AI805" s="913" t="s">
        <v>3141</v>
      </c>
    </row>
    <row r="806" spans="1:35" ht="26.25" x14ac:dyDescent="0.25">
      <c r="A806" s="18" t="s">
        <v>3142</v>
      </c>
      <c r="B806" s="19" t="s">
        <v>40</v>
      </c>
      <c r="C806" s="19" t="s">
        <v>3013</v>
      </c>
      <c r="D806" s="19" t="s">
        <v>3102</v>
      </c>
      <c r="E806" s="19" t="s">
        <v>3143</v>
      </c>
      <c r="F806" s="20"/>
      <c r="G806" s="21" t="s">
        <v>3143</v>
      </c>
      <c r="H806" s="18" t="s">
        <v>2222</v>
      </c>
      <c r="I806" s="19" t="s">
        <v>1519</v>
      </c>
      <c r="J806" s="210"/>
      <c r="K806" s="250"/>
      <c r="L806" s="251"/>
      <c r="M806" s="252"/>
      <c r="N806" s="253"/>
      <c r="O806" s="252"/>
      <c r="P806" s="254"/>
      <c r="Q806" s="418"/>
      <c r="R806" s="419"/>
      <c r="S806" s="420"/>
      <c r="T806" s="421"/>
      <c r="U806" s="420"/>
      <c r="V806" s="422"/>
      <c r="W806" s="597"/>
      <c r="X806" s="598"/>
      <c r="Y806" s="599"/>
      <c r="Z806" s="600"/>
      <c r="AA806" s="599"/>
      <c r="AB806" s="601"/>
      <c r="AC806" s="781"/>
      <c r="AD806" s="782"/>
      <c r="AE806" s="783"/>
      <c r="AF806" s="784"/>
      <c r="AG806" s="783"/>
      <c r="AH806" s="957"/>
      <c r="AI806" s="913" t="s">
        <v>3144</v>
      </c>
    </row>
    <row r="807" spans="1:35" ht="26.25" x14ac:dyDescent="0.25">
      <c r="A807" s="18" t="s">
        <v>3145</v>
      </c>
      <c r="B807" s="19" t="s">
        <v>40</v>
      </c>
      <c r="C807" s="19" t="s">
        <v>3013</v>
      </c>
      <c r="D807" s="19" t="s">
        <v>3102</v>
      </c>
      <c r="E807" s="19" t="s">
        <v>3146</v>
      </c>
      <c r="F807" s="20"/>
      <c r="G807" s="21" t="s">
        <v>3146</v>
      </c>
      <c r="H807" s="18" t="s">
        <v>2222</v>
      </c>
      <c r="I807" s="19" t="s">
        <v>1519</v>
      </c>
      <c r="J807" s="210"/>
      <c r="K807" s="250"/>
      <c r="L807" s="251"/>
      <c r="M807" s="252"/>
      <c r="N807" s="253"/>
      <c r="O807" s="252"/>
      <c r="P807" s="254"/>
      <c r="Q807" s="418"/>
      <c r="R807" s="419"/>
      <c r="S807" s="420"/>
      <c r="T807" s="421"/>
      <c r="U807" s="420"/>
      <c r="V807" s="422"/>
      <c r="W807" s="597"/>
      <c r="X807" s="598"/>
      <c r="Y807" s="599"/>
      <c r="Z807" s="600"/>
      <c r="AA807" s="599"/>
      <c r="AB807" s="601"/>
      <c r="AC807" s="781"/>
      <c r="AD807" s="782"/>
      <c r="AE807" s="783"/>
      <c r="AF807" s="784"/>
      <c r="AG807" s="783"/>
      <c r="AH807" s="957"/>
      <c r="AI807" s="913" t="s">
        <v>3147</v>
      </c>
    </row>
    <row r="808" spans="1:35" ht="64.5" x14ac:dyDescent="0.25">
      <c r="A808" s="172" t="s">
        <v>3148</v>
      </c>
      <c r="B808" s="173" t="s">
        <v>40</v>
      </c>
      <c r="C808" s="173" t="s">
        <v>3013</v>
      </c>
      <c r="D808" s="173" t="s">
        <v>3102</v>
      </c>
      <c r="E808" s="173"/>
      <c r="F808" s="174" t="s">
        <v>1291</v>
      </c>
      <c r="G808" s="175" t="s">
        <v>3149</v>
      </c>
      <c r="H808" s="172" t="s">
        <v>2222</v>
      </c>
      <c r="I808" s="173" t="s">
        <v>432</v>
      </c>
      <c r="J808" s="210"/>
      <c r="K808" s="250"/>
      <c r="L808" s="251"/>
      <c r="M808" s="252"/>
      <c r="N808" s="253"/>
      <c r="O808" s="252"/>
      <c r="P808" s="254"/>
      <c r="Q808" s="418"/>
      <c r="R808" s="419"/>
      <c r="S808" s="420"/>
      <c r="T808" s="421"/>
      <c r="U808" s="420"/>
      <c r="V808" s="422"/>
      <c r="W808" s="597"/>
      <c r="X808" s="598"/>
      <c r="Y808" s="599"/>
      <c r="Z808" s="600"/>
      <c r="AA808" s="599"/>
      <c r="AB808" s="601"/>
      <c r="AC808" s="781"/>
      <c r="AD808" s="782"/>
      <c r="AE808" s="783"/>
      <c r="AF808" s="784"/>
      <c r="AG808" s="783"/>
      <c r="AH808" s="957"/>
      <c r="AI808" s="944"/>
    </row>
    <row r="809" spans="1:35" ht="26.25" x14ac:dyDescent="0.25">
      <c r="A809" s="18" t="s">
        <v>3150</v>
      </c>
      <c r="B809" s="19" t="s">
        <v>40</v>
      </c>
      <c r="C809" s="19" t="s">
        <v>3013</v>
      </c>
      <c r="D809" s="19" t="s">
        <v>3151</v>
      </c>
      <c r="E809" s="19" t="s">
        <v>3152</v>
      </c>
      <c r="F809" s="20"/>
      <c r="G809" s="21" t="s">
        <v>3153</v>
      </c>
      <c r="H809" s="18" t="s">
        <v>1439</v>
      </c>
      <c r="I809" s="19" t="s">
        <v>432</v>
      </c>
      <c r="J809" s="210"/>
      <c r="K809" s="250"/>
      <c r="L809" s="251"/>
      <c r="M809" s="252"/>
      <c r="N809" s="253"/>
      <c r="O809" s="252"/>
      <c r="P809" s="254"/>
      <c r="Q809" s="418"/>
      <c r="R809" s="419"/>
      <c r="S809" s="420"/>
      <c r="T809" s="421"/>
      <c r="U809" s="420"/>
      <c r="V809" s="422"/>
      <c r="W809" s="597"/>
      <c r="X809" s="598"/>
      <c r="Y809" s="599"/>
      <c r="Z809" s="600"/>
      <c r="AA809" s="599"/>
      <c r="AB809" s="601"/>
      <c r="AC809" s="781"/>
      <c r="AD809" s="782"/>
      <c r="AE809" s="783"/>
      <c r="AF809" s="784"/>
      <c r="AG809" s="783"/>
      <c r="AH809" s="957"/>
      <c r="AI809" s="913"/>
    </row>
    <row r="810" spans="1:35" ht="26.25" x14ac:dyDescent="0.25">
      <c r="A810" s="18" t="s">
        <v>3154</v>
      </c>
      <c r="B810" s="19" t="s">
        <v>40</v>
      </c>
      <c r="C810" s="19" t="s">
        <v>3013</v>
      </c>
      <c r="D810" s="19" t="s">
        <v>3151</v>
      </c>
      <c r="E810" s="19" t="s">
        <v>3155</v>
      </c>
      <c r="F810" s="20"/>
      <c r="G810" s="21" t="s">
        <v>3156</v>
      </c>
      <c r="H810" s="18" t="s">
        <v>1439</v>
      </c>
      <c r="I810" s="19" t="s">
        <v>432</v>
      </c>
      <c r="J810" s="210"/>
      <c r="K810" s="250"/>
      <c r="L810" s="251"/>
      <c r="M810" s="252"/>
      <c r="N810" s="253"/>
      <c r="O810" s="252"/>
      <c r="P810" s="254"/>
      <c r="Q810" s="418"/>
      <c r="R810" s="419"/>
      <c r="S810" s="420"/>
      <c r="T810" s="421"/>
      <c r="U810" s="420"/>
      <c r="V810" s="422"/>
      <c r="W810" s="597"/>
      <c r="X810" s="598"/>
      <c r="Y810" s="599"/>
      <c r="Z810" s="600"/>
      <c r="AA810" s="599"/>
      <c r="AB810" s="601"/>
      <c r="AC810" s="781"/>
      <c r="AD810" s="782"/>
      <c r="AE810" s="783"/>
      <c r="AF810" s="784"/>
      <c r="AG810" s="783"/>
      <c r="AH810" s="957"/>
      <c r="AI810" s="913"/>
    </row>
    <row r="811" spans="1:35" ht="26.25" x14ac:dyDescent="0.25">
      <c r="A811" s="18" t="s">
        <v>3157</v>
      </c>
      <c r="B811" s="19" t="s">
        <v>40</v>
      </c>
      <c r="C811" s="19" t="s">
        <v>3013</v>
      </c>
      <c r="D811" s="19" t="s">
        <v>3151</v>
      </c>
      <c r="E811" s="19" t="s">
        <v>3158</v>
      </c>
      <c r="F811" s="20"/>
      <c r="G811" s="21" t="s">
        <v>3159</v>
      </c>
      <c r="H811" s="18" t="s">
        <v>3160</v>
      </c>
      <c r="I811" s="19" t="s">
        <v>3161</v>
      </c>
      <c r="J811" s="210"/>
      <c r="K811" s="250"/>
      <c r="L811" s="251"/>
      <c r="M811" s="252"/>
      <c r="N811" s="253"/>
      <c r="O811" s="252"/>
      <c r="P811" s="254"/>
      <c r="Q811" s="418"/>
      <c r="R811" s="419"/>
      <c r="S811" s="420"/>
      <c r="T811" s="421"/>
      <c r="U811" s="420"/>
      <c r="V811" s="422"/>
      <c r="W811" s="597"/>
      <c r="X811" s="598"/>
      <c r="Y811" s="599"/>
      <c r="Z811" s="600"/>
      <c r="AA811" s="599"/>
      <c r="AB811" s="601"/>
      <c r="AC811" s="781"/>
      <c r="AD811" s="782"/>
      <c r="AE811" s="783"/>
      <c r="AF811" s="784"/>
      <c r="AG811" s="783"/>
      <c r="AH811" s="957"/>
      <c r="AI811" s="913"/>
    </row>
    <row r="812" spans="1:35" ht="26.25" x14ac:dyDescent="0.25">
      <c r="A812" s="18" t="s">
        <v>3162</v>
      </c>
      <c r="B812" s="19" t="s">
        <v>40</v>
      </c>
      <c r="C812" s="19" t="s">
        <v>3013</v>
      </c>
      <c r="D812" s="19" t="s">
        <v>3151</v>
      </c>
      <c r="E812" s="19" t="s">
        <v>3163</v>
      </c>
      <c r="F812" s="20"/>
      <c r="G812" s="21" t="s">
        <v>3163</v>
      </c>
      <c r="H812" s="18" t="s">
        <v>2162</v>
      </c>
      <c r="I812" s="19" t="s">
        <v>89</v>
      </c>
      <c r="J812" s="210"/>
      <c r="K812" s="250"/>
      <c r="L812" s="251"/>
      <c r="M812" s="252"/>
      <c r="N812" s="253"/>
      <c r="O812" s="252"/>
      <c r="P812" s="254"/>
      <c r="Q812" s="418"/>
      <c r="R812" s="419"/>
      <c r="S812" s="420"/>
      <c r="T812" s="421"/>
      <c r="U812" s="420"/>
      <c r="V812" s="422"/>
      <c r="W812" s="597"/>
      <c r="X812" s="598"/>
      <c r="Y812" s="599"/>
      <c r="Z812" s="600"/>
      <c r="AA812" s="599"/>
      <c r="AB812" s="601"/>
      <c r="AC812" s="781"/>
      <c r="AD812" s="782"/>
      <c r="AE812" s="783"/>
      <c r="AF812" s="784"/>
      <c r="AG812" s="783"/>
      <c r="AH812" s="957"/>
      <c r="AI812" s="913"/>
    </row>
    <row r="813" spans="1:35" ht="26.25" x14ac:dyDescent="0.25">
      <c r="A813" s="18" t="s">
        <v>3164</v>
      </c>
      <c r="B813" s="19" t="s">
        <v>40</v>
      </c>
      <c r="C813" s="19" t="s">
        <v>3013</v>
      </c>
      <c r="D813" s="19" t="s">
        <v>3151</v>
      </c>
      <c r="E813" s="19" t="s">
        <v>394</v>
      </c>
      <c r="F813" s="20"/>
      <c r="G813" s="21" t="s">
        <v>3165</v>
      </c>
      <c r="H813" s="18" t="s">
        <v>2782</v>
      </c>
      <c r="I813" s="19" t="s">
        <v>432</v>
      </c>
      <c r="J813" s="210"/>
      <c r="K813" s="250"/>
      <c r="L813" s="251"/>
      <c r="M813" s="252"/>
      <c r="N813" s="253"/>
      <c r="O813" s="252"/>
      <c r="P813" s="254"/>
      <c r="Q813" s="418"/>
      <c r="R813" s="419"/>
      <c r="S813" s="420"/>
      <c r="T813" s="421"/>
      <c r="U813" s="420"/>
      <c r="V813" s="422"/>
      <c r="W813" s="597"/>
      <c r="X813" s="598"/>
      <c r="Y813" s="599"/>
      <c r="Z813" s="600"/>
      <c r="AA813" s="599"/>
      <c r="AB813" s="601"/>
      <c r="AC813" s="781"/>
      <c r="AD813" s="782"/>
      <c r="AE813" s="783"/>
      <c r="AF813" s="784"/>
      <c r="AG813" s="783"/>
      <c r="AH813" s="957"/>
      <c r="AI813" s="913"/>
    </row>
    <row r="814" spans="1:35" ht="26.25" x14ac:dyDescent="0.25">
      <c r="A814" s="18" t="s">
        <v>3166</v>
      </c>
      <c r="B814" s="19" t="s">
        <v>40</v>
      </c>
      <c r="C814" s="19" t="s">
        <v>3013</v>
      </c>
      <c r="D814" s="19" t="s">
        <v>3151</v>
      </c>
      <c r="E814" s="19" t="s">
        <v>3167</v>
      </c>
      <c r="F814" s="20"/>
      <c r="G814" s="21" t="s">
        <v>3168</v>
      </c>
      <c r="H814" s="18" t="s">
        <v>3169</v>
      </c>
      <c r="I814" s="19" t="s">
        <v>191</v>
      </c>
      <c r="J814" s="210"/>
      <c r="K814" s="250"/>
      <c r="L814" s="251"/>
      <c r="M814" s="252"/>
      <c r="N814" s="253"/>
      <c r="O814" s="252"/>
      <c r="P814" s="254"/>
      <c r="Q814" s="418"/>
      <c r="R814" s="419"/>
      <c r="S814" s="420"/>
      <c r="T814" s="421"/>
      <c r="U814" s="420"/>
      <c r="V814" s="422"/>
      <c r="W814" s="597"/>
      <c r="X814" s="598"/>
      <c r="Y814" s="599"/>
      <c r="Z814" s="600"/>
      <c r="AA814" s="599"/>
      <c r="AB814" s="601"/>
      <c r="AC814" s="781"/>
      <c r="AD814" s="782"/>
      <c r="AE814" s="783"/>
      <c r="AF814" s="784"/>
      <c r="AG814" s="783"/>
      <c r="AH814" s="957"/>
      <c r="AI814" s="913"/>
    </row>
    <row r="815" spans="1:35" ht="26.25" x14ac:dyDescent="0.25">
      <c r="A815" s="18" t="s">
        <v>3170</v>
      </c>
      <c r="B815" s="19" t="s">
        <v>40</v>
      </c>
      <c r="C815" s="19" t="s">
        <v>3013</v>
      </c>
      <c r="D815" s="19" t="s">
        <v>3151</v>
      </c>
      <c r="E815" s="19" t="s">
        <v>3171</v>
      </c>
      <c r="F815" s="20"/>
      <c r="G815" s="21" t="s">
        <v>3172</v>
      </c>
      <c r="H815" s="18" t="s">
        <v>2782</v>
      </c>
      <c r="I815" s="19" t="s">
        <v>3173</v>
      </c>
      <c r="J815" s="210"/>
      <c r="K815" s="250"/>
      <c r="L815" s="251"/>
      <c r="M815" s="252"/>
      <c r="N815" s="253"/>
      <c r="O815" s="252"/>
      <c r="P815" s="254"/>
      <c r="Q815" s="418"/>
      <c r="R815" s="419"/>
      <c r="S815" s="420"/>
      <c r="T815" s="421"/>
      <c r="U815" s="420"/>
      <c r="V815" s="422"/>
      <c r="W815" s="597"/>
      <c r="X815" s="598"/>
      <c r="Y815" s="599"/>
      <c r="Z815" s="600"/>
      <c r="AA815" s="599"/>
      <c r="AB815" s="601"/>
      <c r="AC815" s="781"/>
      <c r="AD815" s="782"/>
      <c r="AE815" s="783"/>
      <c r="AF815" s="784"/>
      <c r="AG815" s="783"/>
      <c r="AH815" s="957"/>
      <c r="AI815" s="913"/>
    </row>
    <row r="816" spans="1:35" ht="26.25" x14ac:dyDescent="0.25">
      <c r="A816" s="18" t="s">
        <v>3174</v>
      </c>
      <c r="B816" s="19" t="s">
        <v>40</v>
      </c>
      <c r="C816" s="19" t="s">
        <v>3013</v>
      </c>
      <c r="D816" s="19" t="s">
        <v>3151</v>
      </c>
      <c r="E816" s="19" t="s">
        <v>3175</v>
      </c>
      <c r="F816" s="20"/>
      <c r="G816" s="21" t="s">
        <v>3176</v>
      </c>
      <c r="H816" s="18" t="s">
        <v>2453</v>
      </c>
      <c r="I816" s="19" t="s">
        <v>399</v>
      </c>
      <c r="J816" s="210"/>
      <c r="K816" s="250"/>
      <c r="L816" s="251"/>
      <c r="M816" s="252"/>
      <c r="N816" s="253"/>
      <c r="O816" s="252"/>
      <c r="P816" s="254"/>
      <c r="Q816" s="418"/>
      <c r="R816" s="419"/>
      <c r="S816" s="420"/>
      <c r="T816" s="421"/>
      <c r="U816" s="420"/>
      <c r="V816" s="422"/>
      <c r="W816" s="597"/>
      <c r="X816" s="598"/>
      <c r="Y816" s="599"/>
      <c r="Z816" s="600"/>
      <c r="AA816" s="599"/>
      <c r="AB816" s="601"/>
      <c r="AC816" s="781"/>
      <c r="AD816" s="782"/>
      <c r="AE816" s="783"/>
      <c r="AF816" s="784"/>
      <c r="AG816" s="783"/>
      <c r="AH816" s="957"/>
      <c r="AI816" s="913"/>
    </row>
    <row r="817" spans="1:35" ht="39" x14ac:dyDescent="0.25">
      <c r="A817" s="18" t="s">
        <v>3177</v>
      </c>
      <c r="B817" s="19" t="s">
        <v>40</v>
      </c>
      <c r="C817" s="19" t="s">
        <v>3013</v>
      </c>
      <c r="D817" s="19" t="s">
        <v>3151</v>
      </c>
      <c r="E817" s="19" t="s">
        <v>3178</v>
      </c>
      <c r="F817" s="20"/>
      <c r="G817" s="21" t="s">
        <v>3179</v>
      </c>
      <c r="H817" s="18" t="s">
        <v>1857</v>
      </c>
      <c r="I817" s="19" t="s">
        <v>89</v>
      </c>
      <c r="J817" s="210"/>
      <c r="K817" s="250"/>
      <c r="L817" s="251"/>
      <c r="M817" s="252"/>
      <c r="N817" s="253"/>
      <c r="O817" s="252"/>
      <c r="P817" s="254"/>
      <c r="Q817" s="418"/>
      <c r="R817" s="419"/>
      <c r="S817" s="420"/>
      <c r="T817" s="421"/>
      <c r="U817" s="420"/>
      <c r="V817" s="422"/>
      <c r="W817" s="597"/>
      <c r="X817" s="598"/>
      <c r="Y817" s="599"/>
      <c r="Z817" s="600"/>
      <c r="AA817" s="599"/>
      <c r="AB817" s="601"/>
      <c r="AC817" s="781"/>
      <c r="AD817" s="782"/>
      <c r="AE817" s="783"/>
      <c r="AF817" s="784"/>
      <c r="AG817" s="783"/>
      <c r="AH817" s="957"/>
      <c r="AI817" s="913"/>
    </row>
    <row r="818" spans="1:35" ht="26.25" x14ac:dyDescent="0.25">
      <c r="A818" s="18" t="s">
        <v>3180</v>
      </c>
      <c r="B818" s="19" t="s">
        <v>40</v>
      </c>
      <c r="C818" s="19" t="s">
        <v>3013</v>
      </c>
      <c r="D818" s="19" t="s">
        <v>3151</v>
      </c>
      <c r="E818" s="19" t="s">
        <v>3181</v>
      </c>
      <c r="F818" s="20"/>
      <c r="G818" s="21" t="s">
        <v>3181</v>
      </c>
      <c r="H818" s="18" t="s">
        <v>2137</v>
      </c>
      <c r="I818" s="19" t="s">
        <v>2892</v>
      </c>
      <c r="J818" s="210"/>
      <c r="K818" s="250"/>
      <c r="L818" s="251"/>
      <c r="M818" s="252"/>
      <c r="N818" s="253"/>
      <c r="O818" s="252"/>
      <c r="P818" s="254"/>
      <c r="Q818" s="418"/>
      <c r="R818" s="419"/>
      <c r="S818" s="420"/>
      <c r="T818" s="421"/>
      <c r="U818" s="420"/>
      <c r="V818" s="422"/>
      <c r="W818" s="597"/>
      <c r="X818" s="598"/>
      <c r="Y818" s="599"/>
      <c r="Z818" s="600"/>
      <c r="AA818" s="599"/>
      <c r="AB818" s="601"/>
      <c r="AC818" s="781"/>
      <c r="AD818" s="782"/>
      <c r="AE818" s="783"/>
      <c r="AF818" s="784"/>
      <c r="AG818" s="783"/>
      <c r="AH818" s="957"/>
      <c r="AI818" s="913"/>
    </row>
    <row r="819" spans="1:35" ht="26.25" x14ac:dyDescent="0.25">
      <c r="A819" s="18" t="s">
        <v>3182</v>
      </c>
      <c r="B819" s="19" t="s">
        <v>40</v>
      </c>
      <c r="C819" s="19" t="s">
        <v>3013</v>
      </c>
      <c r="D819" s="19" t="s">
        <v>3151</v>
      </c>
      <c r="E819" s="19" t="s">
        <v>3183</v>
      </c>
      <c r="F819" s="20"/>
      <c r="G819" s="21" t="s">
        <v>3184</v>
      </c>
      <c r="H819" s="18" t="s">
        <v>3185</v>
      </c>
      <c r="I819" s="19" t="s">
        <v>83</v>
      </c>
      <c r="J819" s="210"/>
      <c r="K819" s="250"/>
      <c r="L819" s="251"/>
      <c r="M819" s="252"/>
      <c r="N819" s="253"/>
      <c r="O819" s="252"/>
      <c r="P819" s="254"/>
      <c r="Q819" s="418"/>
      <c r="R819" s="419"/>
      <c r="S819" s="420"/>
      <c r="T819" s="421"/>
      <c r="U819" s="420"/>
      <c r="V819" s="422"/>
      <c r="W819" s="597"/>
      <c r="X819" s="598"/>
      <c r="Y819" s="599"/>
      <c r="Z819" s="600"/>
      <c r="AA819" s="599"/>
      <c r="AB819" s="601"/>
      <c r="AC819" s="781"/>
      <c r="AD819" s="782"/>
      <c r="AE819" s="783"/>
      <c r="AF819" s="784"/>
      <c r="AG819" s="783"/>
      <c r="AH819" s="957"/>
      <c r="AI819" s="913"/>
    </row>
    <row r="820" spans="1:35" ht="64.5" x14ac:dyDescent="0.25">
      <c r="A820" s="172" t="s">
        <v>3186</v>
      </c>
      <c r="B820" s="173" t="s">
        <v>40</v>
      </c>
      <c r="C820" s="173" t="s">
        <v>3013</v>
      </c>
      <c r="D820" s="173" t="s">
        <v>3151</v>
      </c>
      <c r="E820" s="173"/>
      <c r="F820" s="174" t="s">
        <v>1291</v>
      </c>
      <c r="G820" s="175" t="s">
        <v>3187</v>
      </c>
      <c r="H820" s="172" t="s">
        <v>2137</v>
      </c>
      <c r="I820" s="173" t="s">
        <v>2892</v>
      </c>
      <c r="J820" s="210"/>
      <c r="K820" s="250"/>
      <c r="L820" s="251"/>
      <c r="M820" s="252"/>
      <c r="N820" s="253"/>
      <c r="O820" s="252"/>
      <c r="P820" s="254"/>
      <c r="Q820" s="418"/>
      <c r="R820" s="419"/>
      <c r="S820" s="420"/>
      <c r="T820" s="421"/>
      <c r="U820" s="420"/>
      <c r="V820" s="422"/>
      <c r="W820" s="597"/>
      <c r="X820" s="598"/>
      <c r="Y820" s="599"/>
      <c r="Z820" s="600"/>
      <c r="AA820" s="599"/>
      <c r="AB820" s="601"/>
      <c r="AC820" s="781"/>
      <c r="AD820" s="782"/>
      <c r="AE820" s="783"/>
      <c r="AF820" s="784"/>
      <c r="AG820" s="783"/>
      <c r="AH820" s="957"/>
      <c r="AI820" s="944"/>
    </row>
    <row r="821" spans="1:35" ht="64.5" x14ac:dyDescent="0.25">
      <c r="A821" s="32" t="s">
        <v>3188</v>
      </c>
      <c r="B821" s="33" t="s">
        <v>40</v>
      </c>
      <c r="C821" s="33" t="s">
        <v>3013</v>
      </c>
      <c r="D821" s="33" t="s">
        <v>3189</v>
      </c>
      <c r="E821" s="33"/>
      <c r="F821" s="34" t="s">
        <v>1291</v>
      </c>
      <c r="G821" s="35" t="s">
        <v>3190</v>
      </c>
      <c r="H821" s="32" t="s">
        <v>2508</v>
      </c>
      <c r="I821" s="33" t="s">
        <v>46</v>
      </c>
      <c r="J821" s="210"/>
      <c r="K821" s="250"/>
      <c r="L821" s="251"/>
      <c r="M821" s="252"/>
      <c r="N821" s="253"/>
      <c r="O821" s="252"/>
      <c r="P821" s="254"/>
      <c r="Q821" s="418"/>
      <c r="R821" s="419"/>
      <c r="S821" s="420"/>
      <c r="T821" s="421"/>
      <c r="U821" s="420"/>
      <c r="V821" s="422"/>
      <c r="W821" s="597"/>
      <c r="X821" s="598"/>
      <c r="Y821" s="599"/>
      <c r="Z821" s="600"/>
      <c r="AA821" s="599"/>
      <c r="AB821" s="601"/>
      <c r="AC821" s="781"/>
      <c r="AD821" s="782"/>
      <c r="AE821" s="783"/>
      <c r="AF821" s="784"/>
      <c r="AG821" s="783"/>
      <c r="AH821" s="957"/>
      <c r="AI821" s="916"/>
    </row>
    <row r="822" spans="1:35" ht="39" x14ac:dyDescent="0.25">
      <c r="A822" s="18" t="s">
        <v>3191</v>
      </c>
      <c r="B822" s="19" t="s">
        <v>40</v>
      </c>
      <c r="C822" s="19" t="s">
        <v>3013</v>
      </c>
      <c r="D822" s="19" t="s">
        <v>3192</v>
      </c>
      <c r="E822" s="19" t="s">
        <v>3193</v>
      </c>
      <c r="F822" s="20"/>
      <c r="G822" s="21" t="s">
        <v>3194</v>
      </c>
      <c r="H822" s="18" t="s">
        <v>3195</v>
      </c>
      <c r="I822" s="19" t="s">
        <v>399</v>
      </c>
      <c r="J822" s="210"/>
      <c r="K822" s="250"/>
      <c r="L822" s="251"/>
      <c r="M822" s="252"/>
      <c r="N822" s="253"/>
      <c r="O822" s="252"/>
      <c r="P822" s="254"/>
      <c r="Q822" s="418"/>
      <c r="R822" s="419"/>
      <c r="S822" s="420"/>
      <c r="T822" s="421"/>
      <c r="U822" s="420"/>
      <c r="V822" s="422"/>
      <c r="W822" s="597"/>
      <c r="X822" s="598"/>
      <c r="Y822" s="599"/>
      <c r="Z822" s="600"/>
      <c r="AA822" s="599"/>
      <c r="AB822" s="601"/>
      <c r="AC822" s="781"/>
      <c r="AD822" s="782"/>
      <c r="AE822" s="783"/>
      <c r="AF822" s="784"/>
      <c r="AG822" s="783"/>
      <c r="AH822" s="957"/>
      <c r="AI822" s="913" t="s">
        <v>3016</v>
      </c>
    </row>
    <row r="823" spans="1:35" ht="64.5" x14ac:dyDescent="0.25">
      <c r="A823" s="172" t="s">
        <v>3196</v>
      </c>
      <c r="B823" s="173" t="s">
        <v>40</v>
      </c>
      <c r="C823" s="173" t="s">
        <v>3013</v>
      </c>
      <c r="D823" s="173" t="s">
        <v>3192</v>
      </c>
      <c r="E823" s="173"/>
      <c r="F823" s="174" t="s">
        <v>1291</v>
      </c>
      <c r="G823" s="175" t="s">
        <v>3197</v>
      </c>
      <c r="H823" s="172" t="s">
        <v>3195</v>
      </c>
      <c r="I823" s="173" t="s">
        <v>399</v>
      </c>
      <c r="J823" s="210"/>
      <c r="K823" s="250"/>
      <c r="L823" s="251"/>
      <c r="M823" s="252"/>
      <c r="N823" s="253"/>
      <c r="O823" s="252"/>
      <c r="P823" s="254"/>
      <c r="Q823" s="418"/>
      <c r="R823" s="419"/>
      <c r="S823" s="420"/>
      <c r="T823" s="421"/>
      <c r="U823" s="420"/>
      <c r="V823" s="422"/>
      <c r="W823" s="597"/>
      <c r="X823" s="598"/>
      <c r="Y823" s="599"/>
      <c r="Z823" s="600"/>
      <c r="AA823" s="599"/>
      <c r="AB823" s="601"/>
      <c r="AC823" s="781"/>
      <c r="AD823" s="782"/>
      <c r="AE823" s="783"/>
      <c r="AF823" s="784"/>
      <c r="AG823" s="783"/>
      <c r="AH823" s="957"/>
      <c r="AI823" s="944" t="s">
        <v>3100</v>
      </c>
    </row>
    <row r="824" spans="1:35" ht="26.25" x14ac:dyDescent="0.25">
      <c r="A824" s="18" t="s">
        <v>3198</v>
      </c>
      <c r="B824" s="19" t="s">
        <v>40</v>
      </c>
      <c r="C824" s="19" t="s">
        <v>3013</v>
      </c>
      <c r="D824" s="19" t="s">
        <v>3199</v>
      </c>
      <c r="E824" s="19" t="s">
        <v>3110</v>
      </c>
      <c r="F824" s="20"/>
      <c r="G824" s="21" t="s">
        <v>3200</v>
      </c>
      <c r="H824" s="18" t="s">
        <v>2435</v>
      </c>
      <c r="I824" s="19" t="s">
        <v>399</v>
      </c>
      <c r="J824" s="210"/>
      <c r="K824" s="250"/>
      <c r="L824" s="251"/>
      <c r="M824" s="252"/>
      <c r="N824" s="253"/>
      <c r="O824" s="252"/>
      <c r="P824" s="254"/>
      <c r="Q824" s="418"/>
      <c r="R824" s="419"/>
      <c r="S824" s="420"/>
      <c r="T824" s="421"/>
      <c r="U824" s="420"/>
      <c r="V824" s="422"/>
      <c r="W824" s="597"/>
      <c r="X824" s="598"/>
      <c r="Y824" s="599"/>
      <c r="Z824" s="600"/>
      <c r="AA824" s="599"/>
      <c r="AB824" s="601"/>
      <c r="AC824" s="781"/>
      <c r="AD824" s="782"/>
      <c r="AE824" s="783"/>
      <c r="AF824" s="784"/>
      <c r="AG824" s="783"/>
      <c r="AH824" s="957"/>
      <c r="AI824" s="913" t="s">
        <v>3113</v>
      </c>
    </row>
    <row r="825" spans="1:35" ht="26.25" x14ac:dyDescent="0.25">
      <c r="A825" s="18" t="s">
        <v>3201</v>
      </c>
      <c r="B825" s="19" t="s">
        <v>40</v>
      </c>
      <c r="C825" s="19" t="s">
        <v>3013</v>
      </c>
      <c r="D825" s="19" t="s">
        <v>3199</v>
      </c>
      <c r="E825" s="19" t="s">
        <v>3202</v>
      </c>
      <c r="F825" s="20"/>
      <c r="G825" s="21" t="s">
        <v>3203</v>
      </c>
      <c r="H825" s="18" t="s">
        <v>61</v>
      </c>
      <c r="I825" s="19" t="s">
        <v>61</v>
      </c>
      <c r="J825" s="210"/>
      <c r="K825" s="250"/>
      <c r="L825" s="251"/>
      <c r="M825" s="252"/>
      <c r="N825" s="253"/>
      <c r="O825" s="252"/>
      <c r="P825" s="254"/>
      <c r="Q825" s="418"/>
      <c r="R825" s="419"/>
      <c r="S825" s="420"/>
      <c r="T825" s="421"/>
      <c r="U825" s="420"/>
      <c r="V825" s="422"/>
      <c r="W825" s="597"/>
      <c r="X825" s="598"/>
      <c r="Y825" s="599"/>
      <c r="Z825" s="600"/>
      <c r="AA825" s="599"/>
      <c r="AB825" s="601"/>
      <c r="AC825" s="781"/>
      <c r="AD825" s="782"/>
      <c r="AE825" s="783"/>
      <c r="AF825" s="784"/>
      <c r="AG825" s="783"/>
      <c r="AH825" s="957"/>
      <c r="AI825" s="913" t="s">
        <v>3113</v>
      </c>
    </row>
    <row r="826" spans="1:35" ht="26.25" x14ac:dyDescent="0.25">
      <c r="A826" s="18" t="s">
        <v>3204</v>
      </c>
      <c r="B826" s="19" t="s">
        <v>40</v>
      </c>
      <c r="C826" s="19" t="s">
        <v>3013</v>
      </c>
      <c r="D826" s="19" t="s">
        <v>3199</v>
      </c>
      <c r="E826" s="19" t="s">
        <v>3121</v>
      </c>
      <c r="F826" s="20"/>
      <c r="G826" s="21" t="s">
        <v>3205</v>
      </c>
      <c r="H826" s="18" t="s">
        <v>2091</v>
      </c>
      <c r="I826" s="19" t="s">
        <v>399</v>
      </c>
      <c r="J826" s="210"/>
      <c r="K826" s="250"/>
      <c r="L826" s="251"/>
      <c r="M826" s="252"/>
      <c r="N826" s="253"/>
      <c r="O826" s="252"/>
      <c r="P826" s="254"/>
      <c r="Q826" s="418"/>
      <c r="R826" s="419"/>
      <c r="S826" s="420"/>
      <c r="T826" s="421"/>
      <c r="U826" s="420"/>
      <c r="V826" s="422"/>
      <c r="W826" s="597"/>
      <c r="X826" s="598"/>
      <c r="Y826" s="599"/>
      <c r="Z826" s="600"/>
      <c r="AA826" s="599"/>
      <c r="AB826" s="601"/>
      <c r="AC826" s="781"/>
      <c r="AD826" s="782"/>
      <c r="AE826" s="783"/>
      <c r="AF826" s="784"/>
      <c r="AG826" s="783"/>
      <c r="AH826" s="957"/>
      <c r="AI826" s="913"/>
    </row>
    <row r="827" spans="1:35" ht="26.25" x14ac:dyDescent="0.25">
      <c r="A827" s="18" t="s">
        <v>3206</v>
      </c>
      <c r="B827" s="19" t="s">
        <v>40</v>
      </c>
      <c r="C827" s="19" t="s">
        <v>3013</v>
      </c>
      <c r="D827" s="19" t="s">
        <v>3199</v>
      </c>
      <c r="E827" s="19" t="s">
        <v>3207</v>
      </c>
      <c r="F827" s="20"/>
      <c r="G827" s="21" t="s">
        <v>3208</v>
      </c>
      <c r="H827" s="18" t="s">
        <v>3209</v>
      </c>
      <c r="I827" s="19" t="s">
        <v>399</v>
      </c>
      <c r="J827" s="210"/>
      <c r="K827" s="250"/>
      <c r="L827" s="251"/>
      <c r="M827" s="252"/>
      <c r="N827" s="253"/>
      <c r="O827" s="252"/>
      <c r="P827" s="254"/>
      <c r="Q827" s="418"/>
      <c r="R827" s="419"/>
      <c r="S827" s="420"/>
      <c r="T827" s="421"/>
      <c r="U827" s="420"/>
      <c r="V827" s="422"/>
      <c r="W827" s="597"/>
      <c r="X827" s="598"/>
      <c r="Y827" s="599"/>
      <c r="Z827" s="600"/>
      <c r="AA827" s="599"/>
      <c r="AB827" s="601"/>
      <c r="AC827" s="781"/>
      <c r="AD827" s="782"/>
      <c r="AE827" s="783"/>
      <c r="AF827" s="784"/>
      <c r="AG827" s="783"/>
      <c r="AH827" s="957"/>
      <c r="AI827" s="913"/>
    </row>
    <row r="828" spans="1:35" ht="51.75" x14ac:dyDescent="0.25">
      <c r="A828" s="91" t="s">
        <v>3210</v>
      </c>
      <c r="B828" s="92" t="s">
        <v>40</v>
      </c>
      <c r="C828" s="92" t="s">
        <v>3013</v>
      </c>
      <c r="D828" s="92" t="s">
        <v>3199</v>
      </c>
      <c r="E828" s="92" t="s">
        <v>3211</v>
      </c>
      <c r="F828" s="93" t="s">
        <v>3212</v>
      </c>
      <c r="G828" s="184" t="s">
        <v>1262</v>
      </c>
      <c r="H828" s="91"/>
      <c r="I828" s="92"/>
      <c r="J828" s="216"/>
      <c r="K828" s="303"/>
      <c r="L828" s="304"/>
      <c r="M828" s="370"/>
      <c r="N828" s="371"/>
      <c r="O828" s="370"/>
      <c r="P828" s="372"/>
      <c r="Q828" s="475"/>
      <c r="R828" s="476"/>
      <c r="S828" s="547"/>
      <c r="T828" s="548"/>
      <c r="U828" s="547"/>
      <c r="V828" s="549"/>
      <c r="W828" s="662"/>
      <c r="X828" s="663"/>
      <c r="Y828" s="730"/>
      <c r="Z828" s="731"/>
      <c r="AA828" s="730"/>
      <c r="AB828" s="732"/>
      <c r="AC828" s="828"/>
      <c r="AD828" s="829"/>
      <c r="AE828" s="884"/>
      <c r="AF828" s="885"/>
      <c r="AG828" s="884"/>
      <c r="AH828" s="987"/>
      <c r="AI828" s="927"/>
    </row>
    <row r="829" spans="1:35" ht="60" x14ac:dyDescent="0.25">
      <c r="A829" s="41" t="s">
        <v>3213</v>
      </c>
      <c r="B829" s="42" t="s">
        <v>40</v>
      </c>
      <c r="C829" s="42" t="s">
        <v>3013</v>
      </c>
      <c r="D829" s="42" t="s">
        <v>3199</v>
      </c>
      <c r="E829" s="42" t="s">
        <v>3211</v>
      </c>
      <c r="F829" s="43" t="s">
        <v>3214</v>
      </c>
      <c r="G829" s="44" t="s">
        <v>3214</v>
      </c>
      <c r="H829" s="41" t="s">
        <v>3215</v>
      </c>
      <c r="I829" s="42" t="s">
        <v>399</v>
      </c>
      <c r="J829" s="211"/>
      <c r="K829" s="261"/>
      <c r="L829" s="262"/>
      <c r="M829" s="293"/>
      <c r="N829" s="343"/>
      <c r="O829" s="293"/>
      <c r="P829" s="294"/>
      <c r="Q829" s="431"/>
      <c r="R829" s="432"/>
      <c r="S829" s="465"/>
      <c r="T829" s="518"/>
      <c r="U829" s="465"/>
      <c r="V829" s="466"/>
      <c r="W829" s="611"/>
      <c r="X829" s="612"/>
      <c r="Y829" s="652"/>
      <c r="Z829" s="702"/>
      <c r="AA829" s="652"/>
      <c r="AB829" s="616"/>
      <c r="AC829" s="792"/>
      <c r="AD829" s="793"/>
      <c r="AE829" s="820"/>
      <c r="AF829" s="860"/>
      <c r="AG829" s="820"/>
      <c r="AH829" s="960"/>
      <c r="AI829" s="918" t="s">
        <v>3113</v>
      </c>
    </row>
    <row r="830" spans="1:35" ht="64.5" x14ac:dyDescent="0.25">
      <c r="A830" s="172" t="s">
        <v>3216</v>
      </c>
      <c r="B830" s="173" t="s">
        <v>40</v>
      </c>
      <c r="C830" s="173" t="s">
        <v>3013</v>
      </c>
      <c r="D830" s="173" t="s">
        <v>3199</v>
      </c>
      <c r="E830" s="173"/>
      <c r="F830" s="174" t="s">
        <v>1291</v>
      </c>
      <c r="G830" s="175" t="s">
        <v>3217</v>
      </c>
      <c r="H830" s="172" t="s">
        <v>3218</v>
      </c>
      <c r="I830" s="173" t="s">
        <v>3219</v>
      </c>
      <c r="J830" s="210"/>
      <c r="K830" s="250"/>
      <c r="L830" s="251"/>
      <c r="M830" s="252"/>
      <c r="N830" s="253"/>
      <c r="O830" s="252"/>
      <c r="P830" s="254"/>
      <c r="Q830" s="418"/>
      <c r="R830" s="419"/>
      <c r="S830" s="420"/>
      <c r="T830" s="421"/>
      <c r="U830" s="420"/>
      <c r="V830" s="422"/>
      <c r="W830" s="597"/>
      <c r="X830" s="598"/>
      <c r="Y830" s="599"/>
      <c r="Z830" s="600"/>
      <c r="AA830" s="599"/>
      <c r="AB830" s="601"/>
      <c r="AC830" s="781"/>
      <c r="AD830" s="782"/>
      <c r="AE830" s="783"/>
      <c r="AF830" s="784"/>
      <c r="AG830" s="783"/>
      <c r="AH830" s="957"/>
      <c r="AI830" s="944" t="s">
        <v>3220</v>
      </c>
    </row>
    <row r="831" spans="1:35" ht="51.75" x14ac:dyDescent="0.25">
      <c r="A831" s="18" t="s">
        <v>3221</v>
      </c>
      <c r="B831" s="19" t="s">
        <v>40</v>
      </c>
      <c r="C831" s="19" t="s">
        <v>3013</v>
      </c>
      <c r="D831" s="19" t="s">
        <v>3222</v>
      </c>
      <c r="E831" s="19" t="s">
        <v>3223</v>
      </c>
      <c r="F831" s="20"/>
      <c r="G831" s="21" t="s">
        <v>3224</v>
      </c>
      <c r="H831" s="18" t="s">
        <v>3225</v>
      </c>
      <c r="I831" s="19" t="s">
        <v>3226</v>
      </c>
      <c r="J831" s="210"/>
      <c r="K831" s="250"/>
      <c r="L831" s="251"/>
      <c r="M831" s="252"/>
      <c r="N831" s="253"/>
      <c r="O831" s="252"/>
      <c r="P831" s="254"/>
      <c r="Q831" s="418"/>
      <c r="R831" s="419"/>
      <c r="S831" s="420"/>
      <c r="T831" s="421"/>
      <c r="U831" s="420"/>
      <c r="V831" s="422"/>
      <c r="W831" s="597"/>
      <c r="X831" s="598"/>
      <c r="Y831" s="599"/>
      <c r="Z831" s="600"/>
      <c r="AA831" s="599"/>
      <c r="AB831" s="601"/>
      <c r="AC831" s="781"/>
      <c r="AD831" s="782"/>
      <c r="AE831" s="783"/>
      <c r="AF831" s="784"/>
      <c r="AG831" s="783"/>
      <c r="AH831" s="957"/>
      <c r="AI831" s="913" t="s">
        <v>2170</v>
      </c>
    </row>
    <row r="832" spans="1:35" ht="26.25" x14ac:dyDescent="0.25">
      <c r="A832" s="18" t="s">
        <v>3227</v>
      </c>
      <c r="B832" s="19" t="s">
        <v>40</v>
      </c>
      <c r="C832" s="19" t="s">
        <v>3013</v>
      </c>
      <c r="D832" s="19" t="s">
        <v>3222</v>
      </c>
      <c r="E832" s="19" t="s">
        <v>3167</v>
      </c>
      <c r="F832" s="20"/>
      <c r="G832" s="21" t="s">
        <v>3228</v>
      </c>
      <c r="H832" s="18" t="s">
        <v>1045</v>
      </c>
      <c r="I832" s="19" t="s">
        <v>46</v>
      </c>
      <c r="J832" s="210"/>
      <c r="K832" s="250"/>
      <c r="L832" s="251"/>
      <c r="M832" s="252"/>
      <c r="N832" s="253"/>
      <c r="O832" s="252"/>
      <c r="P832" s="254"/>
      <c r="Q832" s="418"/>
      <c r="R832" s="419"/>
      <c r="S832" s="420"/>
      <c r="T832" s="421"/>
      <c r="U832" s="420"/>
      <c r="V832" s="422"/>
      <c r="W832" s="597"/>
      <c r="X832" s="598"/>
      <c r="Y832" s="599"/>
      <c r="Z832" s="600"/>
      <c r="AA832" s="599"/>
      <c r="AB832" s="601"/>
      <c r="AC832" s="781"/>
      <c r="AD832" s="782"/>
      <c r="AE832" s="783"/>
      <c r="AF832" s="784"/>
      <c r="AG832" s="783"/>
      <c r="AH832" s="957"/>
      <c r="AI832" s="913"/>
    </row>
    <row r="833" spans="1:35" ht="26.25" x14ac:dyDescent="0.25">
      <c r="A833" s="18" t="s">
        <v>3229</v>
      </c>
      <c r="B833" s="19" t="s">
        <v>40</v>
      </c>
      <c r="C833" s="19" t="s">
        <v>3013</v>
      </c>
      <c r="D833" s="19" t="s">
        <v>3222</v>
      </c>
      <c r="E833" s="19" t="s">
        <v>3230</v>
      </c>
      <c r="F833" s="20"/>
      <c r="G833" s="21" t="s">
        <v>3231</v>
      </c>
      <c r="H833" s="18" t="s">
        <v>3232</v>
      </c>
      <c r="I833" s="19" t="s">
        <v>1990</v>
      </c>
      <c r="J833" s="210"/>
      <c r="K833" s="250"/>
      <c r="L833" s="251"/>
      <c r="M833" s="252"/>
      <c r="N833" s="253"/>
      <c r="O833" s="252"/>
      <c r="P833" s="254"/>
      <c r="Q833" s="418"/>
      <c r="R833" s="419"/>
      <c r="S833" s="420"/>
      <c r="T833" s="421"/>
      <c r="U833" s="420"/>
      <c r="V833" s="422"/>
      <c r="W833" s="597"/>
      <c r="X833" s="598"/>
      <c r="Y833" s="599"/>
      <c r="Z833" s="600"/>
      <c r="AA833" s="599"/>
      <c r="AB833" s="601"/>
      <c r="AC833" s="781"/>
      <c r="AD833" s="782"/>
      <c r="AE833" s="783"/>
      <c r="AF833" s="784"/>
      <c r="AG833" s="783"/>
      <c r="AH833" s="957"/>
      <c r="AI833" s="913"/>
    </row>
    <row r="834" spans="1:35" ht="26.25" x14ac:dyDescent="0.25">
      <c r="A834" s="18" t="s">
        <v>3233</v>
      </c>
      <c r="B834" s="19" t="s">
        <v>40</v>
      </c>
      <c r="C834" s="19" t="s">
        <v>3013</v>
      </c>
      <c r="D834" s="19" t="s">
        <v>3222</v>
      </c>
      <c r="E834" s="19" t="s">
        <v>3234</v>
      </c>
      <c r="F834" s="20"/>
      <c r="G834" s="21" t="s">
        <v>3235</v>
      </c>
      <c r="H834" s="18" t="s">
        <v>2459</v>
      </c>
      <c r="I834" s="19" t="s">
        <v>399</v>
      </c>
      <c r="J834" s="210"/>
      <c r="K834" s="250"/>
      <c r="L834" s="251"/>
      <c r="M834" s="252"/>
      <c r="N834" s="253"/>
      <c r="O834" s="252"/>
      <c r="P834" s="254"/>
      <c r="Q834" s="418"/>
      <c r="R834" s="419"/>
      <c r="S834" s="420"/>
      <c r="T834" s="421"/>
      <c r="U834" s="420"/>
      <c r="V834" s="422"/>
      <c r="W834" s="597"/>
      <c r="X834" s="598"/>
      <c r="Y834" s="599"/>
      <c r="Z834" s="600"/>
      <c r="AA834" s="599"/>
      <c r="AB834" s="601"/>
      <c r="AC834" s="781"/>
      <c r="AD834" s="782"/>
      <c r="AE834" s="783"/>
      <c r="AF834" s="784"/>
      <c r="AG834" s="783"/>
      <c r="AH834" s="957"/>
      <c r="AI834" s="913"/>
    </row>
    <row r="835" spans="1:35" ht="64.5" x14ac:dyDescent="0.25">
      <c r="A835" s="172" t="s">
        <v>3236</v>
      </c>
      <c r="B835" s="173" t="s">
        <v>40</v>
      </c>
      <c r="C835" s="173" t="s">
        <v>3013</v>
      </c>
      <c r="D835" s="173" t="s">
        <v>3222</v>
      </c>
      <c r="E835" s="173"/>
      <c r="F835" s="174" t="s">
        <v>1291</v>
      </c>
      <c r="G835" s="175" t="s">
        <v>3237</v>
      </c>
      <c r="H835" s="172" t="s">
        <v>3238</v>
      </c>
      <c r="I835" s="173" t="s">
        <v>46</v>
      </c>
      <c r="J835" s="210"/>
      <c r="K835" s="250"/>
      <c r="L835" s="251"/>
      <c r="M835" s="252"/>
      <c r="N835" s="253"/>
      <c r="O835" s="252"/>
      <c r="P835" s="254"/>
      <c r="Q835" s="418"/>
      <c r="R835" s="419"/>
      <c r="S835" s="420"/>
      <c r="T835" s="421"/>
      <c r="U835" s="420"/>
      <c r="V835" s="422"/>
      <c r="W835" s="597"/>
      <c r="X835" s="598"/>
      <c r="Y835" s="599"/>
      <c r="Z835" s="600"/>
      <c r="AA835" s="599"/>
      <c r="AB835" s="601"/>
      <c r="AC835" s="781"/>
      <c r="AD835" s="782"/>
      <c r="AE835" s="783"/>
      <c r="AF835" s="784"/>
      <c r="AG835" s="783"/>
      <c r="AH835" s="957"/>
      <c r="AI835" s="944"/>
    </row>
    <row r="836" spans="1:35" ht="26.25" x14ac:dyDescent="0.25">
      <c r="A836" s="198" t="s">
        <v>3239</v>
      </c>
      <c r="B836" s="199" t="s">
        <v>3240</v>
      </c>
      <c r="C836" s="199" t="s">
        <v>3241</v>
      </c>
      <c r="D836" s="199" t="s">
        <v>3242</v>
      </c>
      <c r="E836" s="199"/>
      <c r="F836" s="200"/>
      <c r="G836" s="201" t="s">
        <v>3243</v>
      </c>
      <c r="H836" s="198"/>
      <c r="I836" s="199"/>
      <c r="J836" s="229"/>
      <c r="K836" s="390"/>
      <c r="L836" s="391"/>
      <c r="M836" s="392"/>
      <c r="N836" s="393"/>
      <c r="O836" s="392"/>
      <c r="P836" s="394"/>
      <c r="Q836" s="570"/>
      <c r="R836" s="571"/>
      <c r="S836" s="572"/>
      <c r="T836" s="573"/>
      <c r="U836" s="572"/>
      <c r="V836" s="574"/>
      <c r="W836" s="756"/>
      <c r="X836" s="757"/>
      <c r="Y836" s="758"/>
      <c r="Z836" s="759"/>
      <c r="AA836" s="758"/>
      <c r="AB836" s="760"/>
      <c r="AC836" s="902"/>
      <c r="AD836" s="903"/>
      <c r="AE836" s="904"/>
      <c r="AF836" s="905"/>
      <c r="AG836" s="904"/>
      <c r="AH836" s="992"/>
      <c r="AI836" s="951" t="s">
        <v>3244</v>
      </c>
    </row>
    <row r="837" spans="1:35" ht="39" x14ac:dyDescent="0.25">
      <c r="A837" s="198" t="s">
        <v>3245</v>
      </c>
      <c r="B837" s="199" t="s">
        <v>3240</v>
      </c>
      <c r="C837" s="199" t="s">
        <v>3241</v>
      </c>
      <c r="D837" s="199" t="s">
        <v>3246</v>
      </c>
      <c r="E837" s="199"/>
      <c r="F837" s="200"/>
      <c r="G837" s="201" t="s">
        <v>3247</v>
      </c>
      <c r="H837" s="198"/>
      <c r="I837" s="199"/>
      <c r="J837" s="229"/>
      <c r="K837" s="390"/>
      <c r="L837" s="391"/>
      <c r="M837" s="392"/>
      <c r="N837" s="393"/>
      <c r="O837" s="392"/>
      <c r="P837" s="394"/>
      <c r="Q837" s="570"/>
      <c r="R837" s="571"/>
      <c r="S837" s="572"/>
      <c r="T837" s="573"/>
      <c r="U837" s="572"/>
      <c r="V837" s="574"/>
      <c r="W837" s="756"/>
      <c r="X837" s="757"/>
      <c r="Y837" s="758"/>
      <c r="Z837" s="759"/>
      <c r="AA837" s="758"/>
      <c r="AB837" s="760"/>
      <c r="AC837" s="902"/>
      <c r="AD837" s="903"/>
      <c r="AE837" s="904"/>
      <c r="AF837" s="905"/>
      <c r="AG837" s="904"/>
      <c r="AH837" s="992"/>
      <c r="AI837" s="951"/>
    </row>
    <row r="838" spans="1:35" ht="26.25" x14ac:dyDescent="0.25">
      <c r="A838" s="198" t="s">
        <v>3248</v>
      </c>
      <c r="B838" s="199" t="s">
        <v>3240</v>
      </c>
      <c r="C838" s="199" t="s">
        <v>3241</v>
      </c>
      <c r="D838" s="199" t="s">
        <v>3249</v>
      </c>
      <c r="E838" s="199"/>
      <c r="F838" s="200"/>
      <c r="G838" s="201" t="s">
        <v>3249</v>
      </c>
      <c r="H838" s="198"/>
      <c r="I838" s="199"/>
      <c r="J838" s="229"/>
      <c r="K838" s="390"/>
      <c r="L838" s="391"/>
      <c r="M838" s="392"/>
      <c r="N838" s="393"/>
      <c r="O838" s="392"/>
      <c r="P838" s="394"/>
      <c r="Q838" s="570"/>
      <c r="R838" s="571"/>
      <c r="S838" s="572"/>
      <c r="T838" s="573"/>
      <c r="U838" s="572"/>
      <c r="V838" s="574"/>
      <c r="W838" s="756"/>
      <c r="X838" s="757"/>
      <c r="Y838" s="758"/>
      <c r="Z838" s="759"/>
      <c r="AA838" s="758"/>
      <c r="AB838" s="760"/>
      <c r="AC838" s="902"/>
      <c r="AD838" s="903"/>
      <c r="AE838" s="904"/>
      <c r="AF838" s="905"/>
      <c r="AG838" s="904"/>
      <c r="AH838" s="992"/>
      <c r="AI838" s="951" t="s">
        <v>3250</v>
      </c>
    </row>
    <row r="839" spans="1:35" x14ac:dyDescent="0.25">
      <c r="A839" s="198" t="s">
        <v>3251</v>
      </c>
      <c r="B839" s="199" t="s">
        <v>3240</v>
      </c>
      <c r="C839" s="199" t="s">
        <v>3241</v>
      </c>
      <c r="D839" s="199" t="s">
        <v>3252</v>
      </c>
      <c r="E839" s="199"/>
      <c r="F839" s="200"/>
      <c r="G839" s="201" t="s">
        <v>3252</v>
      </c>
      <c r="H839" s="198"/>
      <c r="I839" s="199"/>
      <c r="J839" s="229"/>
      <c r="K839" s="390"/>
      <c r="L839" s="391"/>
      <c r="M839" s="392"/>
      <c r="N839" s="393"/>
      <c r="O839" s="392"/>
      <c r="P839" s="394"/>
      <c r="Q839" s="570"/>
      <c r="R839" s="571"/>
      <c r="S839" s="572"/>
      <c r="T839" s="573"/>
      <c r="U839" s="572"/>
      <c r="V839" s="574"/>
      <c r="W839" s="756"/>
      <c r="X839" s="757"/>
      <c r="Y839" s="758"/>
      <c r="Z839" s="759"/>
      <c r="AA839" s="758"/>
      <c r="AB839" s="760"/>
      <c r="AC839" s="902"/>
      <c r="AD839" s="903"/>
      <c r="AE839" s="904"/>
      <c r="AF839" s="905"/>
      <c r="AG839" s="904"/>
      <c r="AH839" s="992"/>
      <c r="AI839" s="951" t="s">
        <v>3253</v>
      </c>
    </row>
    <row r="840" spans="1:35" x14ac:dyDescent="0.25">
      <c r="A840" s="198" t="s">
        <v>3254</v>
      </c>
      <c r="B840" s="199" t="s">
        <v>3240</v>
      </c>
      <c r="C840" s="199" t="s">
        <v>3241</v>
      </c>
      <c r="D840" s="199" t="s">
        <v>1882</v>
      </c>
      <c r="E840" s="199"/>
      <c r="F840" s="200"/>
      <c r="G840" s="201" t="s">
        <v>3255</v>
      </c>
      <c r="H840" s="198"/>
      <c r="I840" s="199"/>
      <c r="J840" s="229"/>
      <c r="K840" s="390"/>
      <c r="L840" s="391"/>
      <c r="M840" s="392"/>
      <c r="N840" s="393"/>
      <c r="O840" s="392"/>
      <c r="P840" s="394"/>
      <c r="Q840" s="570"/>
      <c r="R840" s="571"/>
      <c r="S840" s="572"/>
      <c r="T840" s="573"/>
      <c r="U840" s="572"/>
      <c r="V840" s="574"/>
      <c r="W840" s="756"/>
      <c r="X840" s="757"/>
      <c r="Y840" s="758"/>
      <c r="Z840" s="759"/>
      <c r="AA840" s="758"/>
      <c r="AB840" s="760"/>
      <c r="AC840" s="902"/>
      <c r="AD840" s="903"/>
      <c r="AE840" s="904"/>
      <c r="AF840" s="905"/>
      <c r="AG840" s="904"/>
      <c r="AH840" s="992"/>
      <c r="AI840" s="951" t="s">
        <v>3256</v>
      </c>
    </row>
    <row r="841" spans="1:35" x14ac:dyDescent="0.25">
      <c r="A841" s="198" t="s">
        <v>3257</v>
      </c>
      <c r="B841" s="199" t="s">
        <v>3240</v>
      </c>
      <c r="C841" s="199" t="s">
        <v>3241</v>
      </c>
      <c r="D841" s="199" t="s">
        <v>3258</v>
      </c>
      <c r="E841" s="199"/>
      <c r="F841" s="200"/>
      <c r="G841" s="201" t="s">
        <v>3259</v>
      </c>
      <c r="H841" s="198"/>
      <c r="I841" s="199"/>
      <c r="J841" s="229"/>
      <c r="K841" s="390"/>
      <c r="L841" s="391"/>
      <c r="M841" s="392"/>
      <c r="N841" s="393"/>
      <c r="O841" s="392"/>
      <c r="P841" s="394"/>
      <c r="Q841" s="570"/>
      <c r="R841" s="571"/>
      <c r="S841" s="572"/>
      <c r="T841" s="573"/>
      <c r="U841" s="572"/>
      <c r="V841" s="574"/>
      <c r="W841" s="756"/>
      <c r="X841" s="757"/>
      <c r="Y841" s="758"/>
      <c r="Z841" s="759"/>
      <c r="AA841" s="758"/>
      <c r="AB841" s="760"/>
      <c r="AC841" s="902"/>
      <c r="AD841" s="903"/>
      <c r="AE841" s="904"/>
      <c r="AF841" s="905"/>
      <c r="AG841" s="904"/>
      <c r="AH841" s="992"/>
      <c r="AI841" s="951"/>
    </row>
    <row r="842" spans="1:35" ht="26.25" x14ac:dyDescent="0.25">
      <c r="A842" s="198" t="s">
        <v>3260</v>
      </c>
      <c r="B842" s="199" t="s">
        <v>3240</v>
      </c>
      <c r="C842" s="199" t="s">
        <v>3241</v>
      </c>
      <c r="D842" s="199" t="s">
        <v>3261</v>
      </c>
      <c r="E842" s="199"/>
      <c r="F842" s="200"/>
      <c r="G842" s="201" t="s">
        <v>3262</v>
      </c>
      <c r="H842" s="198"/>
      <c r="I842" s="199"/>
      <c r="J842" s="229"/>
      <c r="K842" s="390"/>
      <c r="L842" s="391"/>
      <c r="M842" s="392"/>
      <c r="N842" s="393"/>
      <c r="O842" s="392"/>
      <c r="P842" s="394"/>
      <c r="Q842" s="570"/>
      <c r="R842" s="571"/>
      <c r="S842" s="572"/>
      <c r="T842" s="573"/>
      <c r="U842" s="572"/>
      <c r="V842" s="574"/>
      <c r="W842" s="756"/>
      <c r="X842" s="757"/>
      <c r="Y842" s="758"/>
      <c r="Z842" s="759"/>
      <c r="AA842" s="758"/>
      <c r="AB842" s="760"/>
      <c r="AC842" s="902"/>
      <c r="AD842" s="903"/>
      <c r="AE842" s="904"/>
      <c r="AF842" s="905"/>
      <c r="AG842" s="904"/>
      <c r="AH842" s="992"/>
      <c r="AI842" s="951"/>
    </row>
    <row r="843" spans="1:35" ht="26.25" x14ac:dyDescent="0.25">
      <c r="A843" s="198" t="s">
        <v>3263</v>
      </c>
      <c r="B843" s="199" t="s">
        <v>3240</v>
      </c>
      <c r="C843" s="199" t="s">
        <v>3241</v>
      </c>
      <c r="D843" s="199" t="s">
        <v>3264</v>
      </c>
      <c r="E843" s="199"/>
      <c r="F843" s="200"/>
      <c r="G843" s="201" t="s">
        <v>3265</v>
      </c>
      <c r="H843" s="198"/>
      <c r="I843" s="199"/>
      <c r="J843" s="229"/>
      <c r="K843" s="390"/>
      <c r="L843" s="391"/>
      <c r="M843" s="392"/>
      <c r="N843" s="393"/>
      <c r="O843" s="392"/>
      <c r="P843" s="394"/>
      <c r="Q843" s="570"/>
      <c r="R843" s="571"/>
      <c r="S843" s="572"/>
      <c r="T843" s="573"/>
      <c r="U843" s="572"/>
      <c r="V843" s="574"/>
      <c r="W843" s="756"/>
      <c r="X843" s="757"/>
      <c r="Y843" s="758"/>
      <c r="Z843" s="759"/>
      <c r="AA843" s="758"/>
      <c r="AB843" s="760"/>
      <c r="AC843" s="902"/>
      <c r="AD843" s="903"/>
      <c r="AE843" s="904"/>
      <c r="AF843" s="905"/>
      <c r="AG843" s="904"/>
      <c r="AH843" s="992"/>
      <c r="AI843" s="951" t="s">
        <v>3266</v>
      </c>
    </row>
    <row r="844" spans="1:35" ht="26.25" x14ac:dyDescent="0.25">
      <c r="A844" s="198" t="s">
        <v>3267</v>
      </c>
      <c r="B844" s="199" t="s">
        <v>3240</v>
      </c>
      <c r="C844" s="199" t="s">
        <v>3241</v>
      </c>
      <c r="D844" s="199" t="s">
        <v>3268</v>
      </c>
      <c r="E844" s="199"/>
      <c r="F844" s="200"/>
      <c r="G844" s="201" t="s">
        <v>3268</v>
      </c>
      <c r="H844" s="198"/>
      <c r="I844" s="199"/>
      <c r="J844" s="229"/>
      <c r="K844" s="390"/>
      <c r="L844" s="391"/>
      <c r="M844" s="392"/>
      <c r="N844" s="393"/>
      <c r="O844" s="392"/>
      <c r="P844" s="394"/>
      <c r="Q844" s="570"/>
      <c r="R844" s="571"/>
      <c r="S844" s="572"/>
      <c r="T844" s="573"/>
      <c r="U844" s="572"/>
      <c r="V844" s="574"/>
      <c r="W844" s="756"/>
      <c r="X844" s="757"/>
      <c r="Y844" s="758"/>
      <c r="Z844" s="759"/>
      <c r="AA844" s="758"/>
      <c r="AB844" s="760"/>
      <c r="AC844" s="902"/>
      <c r="AD844" s="903"/>
      <c r="AE844" s="904"/>
      <c r="AF844" s="905"/>
      <c r="AG844" s="904"/>
      <c r="AH844" s="992"/>
      <c r="AI844" s="951" t="s">
        <v>3269</v>
      </c>
    </row>
    <row r="845" spans="1:35" x14ac:dyDescent="0.25">
      <c r="A845" s="198" t="s">
        <v>3270</v>
      </c>
      <c r="B845" s="199" t="s">
        <v>3240</v>
      </c>
      <c r="C845" s="199" t="s">
        <v>3241</v>
      </c>
      <c r="D845" s="199" t="s">
        <v>3271</v>
      </c>
      <c r="E845" s="199"/>
      <c r="F845" s="200"/>
      <c r="G845" s="201" t="s">
        <v>3272</v>
      </c>
      <c r="H845" s="198"/>
      <c r="I845" s="199"/>
      <c r="J845" s="229"/>
      <c r="K845" s="390"/>
      <c r="L845" s="391"/>
      <c r="M845" s="392"/>
      <c r="N845" s="393"/>
      <c r="O845" s="392"/>
      <c r="P845" s="394"/>
      <c r="Q845" s="570"/>
      <c r="R845" s="571"/>
      <c r="S845" s="572"/>
      <c r="T845" s="573"/>
      <c r="U845" s="572"/>
      <c r="V845" s="574"/>
      <c r="W845" s="756"/>
      <c r="X845" s="757"/>
      <c r="Y845" s="758"/>
      <c r="Z845" s="759"/>
      <c r="AA845" s="758"/>
      <c r="AB845" s="760"/>
      <c r="AC845" s="902"/>
      <c r="AD845" s="903"/>
      <c r="AE845" s="904"/>
      <c r="AF845" s="905"/>
      <c r="AG845" s="904"/>
      <c r="AH845" s="992"/>
      <c r="AI845" s="951" t="s">
        <v>3273</v>
      </c>
    </row>
    <row r="846" spans="1:35" ht="51.75" x14ac:dyDescent="0.25">
      <c r="A846" s="198" t="s">
        <v>3274</v>
      </c>
      <c r="B846" s="199" t="s">
        <v>3240</v>
      </c>
      <c r="C846" s="199" t="s">
        <v>3241</v>
      </c>
      <c r="D846" s="199" t="s">
        <v>3275</v>
      </c>
      <c r="E846" s="199"/>
      <c r="F846" s="200"/>
      <c r="G846" s="201" t="s">
        <v>3276</v>
      </c>
      <c r="H846" s="198"/>
      <c r="I846" s="199"/>
      <c r="J846" s="229"/>
      <c r="K846" s="390"/>
      <c r="L846" s="391"/>
      <c r="M846" s="392"/>
      <c r="N846" s="393"/>
      <c r="O846" s="392"/>
      <c r="P846" s="394"/>
      <c r="Q846" s="570"/>
      <c r="R846" s="571"/>
      <c r="S846" s="572"/>
      <c r="T846" s="573"/>
      <c r="U846" s="572"/>
      <c r="V846" s="574"/>
      <c r="W846" s="756"/>
      <c r="X846" s="757"/>
      <c r="Y846" s="758"/>
      <c r="Z846" s="759"/>
      <c r="AA846" s="758"/>
      <c r="AB846" s="760"/>
      <c r="AC846" s="902"/>
      <c r="AD846" s="903"/>
      <c r="AE846" s="904"/>
      <c r="AF846" s="905"/>
      <c r="AG846" s="904"/>
      <c r="AH846" s="992"/>
      <c r="AI846" s="951" t="s">
        <v>3277</v>
      </c>
    </row>
    <row r="847" spans="1:35" ht="26.25" x14ac:dyDescent="0.25">
      <c r="A847" s="198" t="s">
        <v>3278</v>
      </c>
      <c r="B847" s="199" t="s">
        <v>3240</v>
      </c>
      <c r="C847" s="199" t="s">
        <v>3241</v>
      </c>
      <c r="D847" s="199" t="s">
        <v>3279</v>
      </c>
      <c r="E847" s="199"/>
      <c r="F847" s="200"/>
      <c r="G847" s="201" t="s">
        <v>3280</v>
      </c>
      <c r="H847" s="198"/>
      <c r="I847" s="199"/>
      <c r="J847" s="229"/>
      <c r="K847" s="390"/>
      <c r="L847" s="391"/>
      <c r="M847" s="392"/>
      <c r="N847" s="393"/>
      <c r="O847" s="392"/>
      <c r="P847" s="394"/>
      <c r="Q847" s="570"/>
      <c r="R847" s="571"/>
      <c r="S847" s="572"/>
      <c r="T847" s="573"/>
      <c r="U847" s="572"/>
      <c r="V847" s="574"/>
      <c r="W847" s="756"/>
      <c r="X847" s="757"/>
      <c r="Y847" s="758"/>
      <c r="Z847" s="759"/>
      <c r="AA847" s="758"/>
      <c r="AB847" s="760"/>
      <c r="AC847" s="902"/>
      <c r="AD847" s="903"/>
      <c r="AE847" s="904"/>
      <c r="AF847" s="905"/>
      <c r="AG847" s="904"/>
      <c r="AH847" s="992"/>
      <c r="AI847" s="951"/>
    </row>
    <row r="848" spans="1:35" ht="26.25" x14ac:dyDescent="0.25">
      <c r="A848" s="198" t="s">
        <v>3281</v>
      </c>
      <c r="B848" s="199" t="s">
        <v>3240</v>
      </c>
      <c r="C848" s="199" t="s">
        <v>3241</v>
      </c>
      <c r="D848" s="199" t="s">
        <v>3282</v>
      </c>
      <c r="E848" s="199"/>
      <c r="F848" s="200"/>
      <c r="G848" s="201" t="s">
        <v>3283</v>
      </c>
      <c r="H848" s="198"/>
      <c r="I848" s="199"/>
      <c r="J848" s="229"/>
      <c r="K848" s="390"/>
      <c r="L848" s="391"/>
      <c r="M848" s="392"/>
      <c r="N848" s="393"/>
      <c r="O848" s="392"/>
      <c r="P848" s="394"/>
      <c r="Q848" s="570"/>
      <c r="R848" s="571"/>
      <c r="S848" s="572"/>
      <c r="T848" s="573"/>
      <c r="U848" s="572"/>
      <c r="V848" s="574"/>
      <c r="W848" s="756"/>
      <c r="X848" s="757"/>
      <c r="Y848" s="758"/>
      <c r="Z848" s="759"/>
      <c r="AA848" s="758"/>
      <c r="AB848" s="760"/>
      <c r="AC848" s="902"/>
      <c r="AD848" s="903"/>
      <c r="AE848" s="904"/>
      <c r="AF848" s="905"/>
      <c r="AG848" s="904"/>
      <c r="AH848" s="992"/>
      <c r="AI848" s="951" t="s">
        <v>3284</v>
      </c>
    </row>
    <row r="849" spans="1:35" ht="26.25" x14ac:dyDescent="0.25">
      <c r="A849" s="198" t="s">
        <v>3285</v>
      </c>
      <c r="B849" s="199" t="s">
        <v>3240</v>
      </c>
      <c r="C849" s="199" t="s">
        <v>3241</v>
      </c>
      <c r="D849" s="199" t="s">
        <v>3286</v>
      </c>
      <c r="E849" s="199"/>
      <c r="F849" s="200"/>
      <c r="G849" s="201" t="s">
        <v>3287</v>
      </c>
      <c r="H849" s="198"/>
      <c r="I849" s="199"/>
      <c r="J849" s="229"/>
      <c r="K849" s="390"/>
      <c r="L849" s="391"/>
      <c r="M849" s="392"/>
      <c r="N849" s="393"/>
      <c r="O849" s="392"/>
      <c r="P849" s="394"/>
      <c r="Q849" s="570"/>
      <c r="R849" s="571"/>
      <c r="S849" s="572"/>
      <c r="T849" s="573"/>
      <c r="U849" s="572"/>
      <c r="V849" s="574"/>
      <c r="W849" s="756"/>
      <c r="X849" s="757"/>
      <c r="Y849" s="758"/>
      <c r="Z849" s="759"/>
      <c r="AA849" s="758"/>
      <c r="AB849" s="760"/>
      <c r="AC849" s="902"/>
      <c r="AD849" s="903"/>
      <c r="AE849" s="904"/>
      <c r="AF849" s="905"/>
      <c r="AG849" s="904"/>
      <c r="AH849" s="992"/>
      <c r="AI849" s="951"/>
    </row>
    <row r="850" spans="1:35" ht="39" x14ac:dyDescent="0.25">
      <c r="A850" s="198" t="s">
        <v>3288</v>
      </c>
      <c r="B850" s="199" t="s">
        <v>3240</v>
      </c>
      <c r="C850" s="199" t="s">
        <v>3289</v>
      </c>
      <c r="D850" s="199" t="s">
        <v>3290</v>
      </c>
      <c r="E850" s="199" t="s">
        <v>3291</v>
      </c>
      <c r="F850" s="200"/>
      <c r="G850" s="201" t="s">
        <v>3292</v>
      </c>
      <c r="H850" s="198"/>
      <c r="I850" s="199"/>
      <c r="J850" s="229"/>
      <c r="K850" s="390"/>
      <c r="L850" s="391"/>
      <c r="M850" s="392"/>
      <c r="N850" s="393"/>
      <c r="O850" s="392"/>
      <c r="P850" s="394"/>
      <c r="Q850" s="570"/>
      <c r="R850" s="571"/>
      <c r="S850" s="572"/>
      <c r="T850" s="573"/>
      <c r="U850" s="572"/>
      <c r="V850" s="574"/>
      <c r="W850" s="756"/>
      <c r="X850" s="757"/>
      <c r="Y850" s="758"/>
      <c r="Z850" s="759"/>
      <c r="AA850" s="758"/>
      <c r="AB850" s="760"/>
      <c r="AC850" s="902"/>
      <c r="AD850" s="903"/>
      <c r="AE850" s="904"/>
      <c r="AF850" s="905"/>
      <c r="AG850" s="904"/>
      <c r="AH850" s="992"/>
      <c r="AI850" s="951" t="s">
        <v>2013</v>
      </c>
    </row>
    <row r="851" spans="1:35" ht="26.25" x14ac:dyDescent="0.25">
      <c r="A851" s="198" t="s">
        <v>3293</v>
      </c>
      <c r="B851" s="199" t="s">
        <v>3240</v>
      </c>
      <c r="C851" s="199" t="s">
        <v>3289</v>
      </c>
      <c r="D851" s="199" t="s">
        <v>3290</v>
      </c>
      <c r="E851" s="199" t="s">
        <v>3294</v>
      </c>
      <c r="F851" s="200"/>
      <c r="G851" s="201" t="s">
        <v>3295</v>
      </c>
      <c r="H851" s="198"/>
      <c r="I851" s="199"/>
      <c r="J851" s="229"/>
      <c r="K851" s="390"/>
      <c r="L851" s="391"/>
      <c r="M851" s="392"/>
      <c r="N851" s="393"/>
      <c r="O851" s="392"/>
      <c r="P851" s="394"/>
      <c r="Q851" s="570"/>
      <c r="R851" s="571"/>
      <c r="S851" s="572"/>
      <c r="T851" s="573"/>
      <c r="U851" s="572"/>
      <c r="V851" s="574"/>
      <c r="W851" s="756"/>
      <c r="X851" s="757"/>
      <c r="Y851" s="758"/>
      <c r="Z851" s="759"/>
      <c r="AA851" s="758"/>
      <c r="AB851" s="760"/>
      <c r="AC851" s="902"/>
      <c r="AD851" s="903"/>
      <c r="AE851" s="904"/>
      <c r="AF851" s="905"/>
      <c r="AG851" s="904"/>
      <c r="AH851" s="992"/>
      <c r="AI851" s="951"/>
    </row>
    <row r="852" spans="1:35" ht="26.25" x14ac:dyDescent="0.25">
      <c r="A852" s="198" t="s">
        <v>3296</v>
      </c>
      <c r="B852" s="199" t="s">
        <v>3240</v>
      </c>
      <c r="C852" s="199" t="s">
        <v>3289</v>
      </c>
      <c r="D852" s="199" t="s">
        <v>3290</v>
      </c>
      <c r="E852" s="199" t="s">
        <v>3297</v>
      </c>
      <c r="F852" s="200"/>
      <c r="G852" s="201" t="s">
        <v>3298</v>
      </c>
      <c r="H852" s="198"/>
      <c r="I852" s="199"/>
      <c r="J852" s="229"/>
      <c r="K852" s="390"/>
      <c r="L852" s="391"/>
      <c r="M852" s="392"/>
      <c r="N852" s="393"/>
      <c r="O852" s="392"/>
      <c r="P852" s="394"/>
      <c r="Q852" s="570"/>
      <c r="R852" s="571"/>
      <c r="S852" s="572"/>
      <c r="T852" s="573"/>
      <c r="U852" s="572"/>
      <c r="V852" s="574"/>
      <c r="W852" s="756"/>
      <c r="X852" s="757"/>
      <c r="Y852" s="758"/>
      <c r="Z852" s="759"/>
      <c r="AA852" s="758"/>
      <c r="AB852" s="760"/>
      <c r="AC852" s="902"/>
      <c r="AD852" s="903"/>
      <c r="AE852" s="904"/>
      <c r="AF852" s="905"/>
      <c r="AG852" s="904"/>
      <c r="AH852" s="992"/>
      <c r="AI852" s="951" t="s">
        <v>2013</v>
      </c>
    </row>
    <row r="853" spans="1:35" ht="26.25" x14ac:dyDescent="0.25">
      <c r="A853" s="198" t="s">
        <v>3299</v>
      </c>
      <c r="B853" s="199" t="s">
        <v>3240</v>
      </c>
      <c r="C853" s="199" t="s">
        <v>3289</v>
      </c>
      <c r="D853" s="199" t="s">
        <v>3290</v>
      </c>
      <c r="E853" s="199" t="s">
        <v>3300</v>
      </c>
      <c r="F853" s="200"/>
      <c r="G853" s="201" t="s">
        <v>3300</v>
      </c>
      <c r="H853" s="198"/>
      <c r="I853" s="199"/>
      <c r="J853" s="229"/>
      <c r="K853" s="390"/>
      <c r="L853" s="391"/>
      <c r="M853" s="392"/>
      <c r="N853" s="393"/>
      <c r="O853" s="392"/>
      <c r="P853" s="394"/>
      <c r="Q853" s="570"/>
      <c r="R853" s="571"/>
      <c r="S853" s="572"/>
      <c r="T853" s="573"/>
      <c r="U853" s="572"/>
      <c r="V853" s="574"/>
      <c r="W853" s="756"/>
      <c r="X853" s="757"/>
      <c r="Y853" s="758"/>
      <c r="Z853" s="759"/>
      <c r="AA853" s="758"/>
      <c r="AB853" s="760"/>
      <c r="AC853" s="902"/>
      <c r="AD853" s="903"/>
      <c r="AE853" s="904"/>
      <c r="AF853" s="905"/>
      <c r="AG853" s="904"/>
      <c r="AH853" s="992"/>
      <c r="AI853" s="951"/>
    </row>
    <row r="854" spans="1:35" ht="26.25" x14ac:dyDescent="0.25">
      <c r="A854" s="198" t="s">
        <v>3301</v>
      </c>
      <c r="B854" s="199" t="s">
        <v>3240</v>
      </c>
      <c r="C854" s="199" t="s">
        <v>3289</v>
      </c>
      <c r="D854" s="199" t="s">
        <v>3290</v>
      </c>
      <c r="E854" s="199" t="s">
        <v>3302</v>
      </c>
      <c r="F854" s="200"/>
      <c r="G854" s="201" t="s">
        <v>3302</v>
      </c>
      <c r="H854" s="198"/>
      <c r="I854" s="199"/>
      <c r="J854" s="229"/>
      <c r="K854" s="390"/>
      <c r="L854" s="391"/>
      <c r="M854" s="392"/>
      <c r="N854" s="393"/>
      <c r="O854" s="392"/>
      <c r="P854" s="394"/>
      <c r="Q854" s="570"/>
      <c r="R854" s="571"/>
      <c r="S854" s="572"/>
      <c r="T854" s="573"/>
      <c r="U854" s="572"/>
      <c r="V854" s="574"/>
      <c r="W854" s="756"/>
      <c r="X854" s="757"/>
      <c r="Y854" s="758"/>
      <c r="Z854" s="759"/>
      <c r="AA854" s="758"/>
      <c r="AB854" s="760"/>
      <c r="AC854" s="902"/>
      <c r="AD854" s="903"/>
      <c r="AE854" s="904"/>
      <c r="AF854" s="905"/>
      <c r="AG854" s="904"/>
      <c r="AH854" s="992"/>
      <c r="AI854" s="951"/>
    </row>
    <row r="855" spans="1:35" ht="26.25" x14ac:dyDescent="0.25">
      <c r="A855" s="198" t="s">
        <v>3303</v>
      </c>
      <c r="B855" s="199" t="s">
        <v>3240</v>
      </c>
      <c r="C855" s="199" t="s">
        <v>3289</v>
      </c>
      <c r="D855" s="199" t="s">
        <v>3290</v>
      </c>
      <c r="E855" s="199" t="s">
        <v>3304</v>
      </c>
      <c r="F855" s="200"/>
      <c r="G855" s="201" t="s">
        <v>3305</v>
      </c>
      <c r="H855" s="198"/>
      <c r="I855" s="199"/>
      <c r="J855" s="229"/>
      <c r="K855" s="390"/>
      <c r="L855" s="391"/>
      <c r="M855" s="392"/>
      <c r="N855" s="393"/>
      <c r="O855" s="392"/>
      <c r="P855" s="394"/>
      <c r="Q855" s="570"/>
      <c r="R855" s="571"/>
      <c r="S855" s="572"/>
      <c r="T855" s="573"/>
      <c r="U855" s="572"/>
      <c r="V855" s="574"/>
      <c r="W855" s="756"/>
      <c r="X855" s="757"/>
      <c r="Y855" s="758"/>
      <c r="Z855" s="759"/>
      <c r="AA855" s="758"/>
      <c r="AB855" s="760"/>
      <c r="AC855" s="902"/>
      <c r="AD855" s="903"/>
      <c r="AE855" s="904"/>
      <c r="AF855" s="905"/>
      <c r="AG855" s="904"/>
      <c r="AH855" s="992"/>
      <c r="AI855" s="951"/>
    </row>
    <row r="856" spans="1:35" x14ac:dyDescent="0.25">
      <c r="A856" s="198" t="s">
        <v>3306</v>
      </c>
      <c r="B856" s="199" t="s">
        <v>3240</v>
      </c>
      <c r="C856" s="199" t="s">
        <v>3289</v>
      </c>
      <c r="D856" s="199" t="s">
        <v>3290</v>
      </c>
      <c r="E856" s="199" t="s">
        <v>3307</v>
      </c>
      <c r="F856" s="200"/>
      <c r="G856" s="201" t="s">
        <v>3308</v>
      </c>
      <c r="H856" s="198"/>
      <c r="I856" s="199"/>
      <c r="J856" s="229"/>
      <c r="K856" s="390"/>
      <c r="L856" s="391"/>
      <c r="M856" s="392"/>
      <c r="N856" s="393"/>
      <c r="O856" s="392"/>
      <c r="P856" s="394"/>
      <c r="Q856" s="570"/>
      <c r="R856" s="571"/>
      <c r="S856" s="572"/>
      <c r="T856" s="573"/>
      <c r="U856" s="572"/>
      <c r="V856" s="574"/>
      <c r="W856" s="756"/>
      <c r="X856" s="757"/>
      <c r="Y856" s="758"/>
      <c r="Z856" s="759"/>
      <c r="AA856" s="758"/>
      <c r="AB856" s="760"/>
      <c r="AC856" s="902"/>
      <c r="AD856" s="903"/>
      <c r="AE856" s="904"/>
      <c r="AF856" s="905"/>
      <c r="AG856" s="904"/>
      <c r="AH856" s="992"/>
      <c r="AI856" s="951" t="s">
        <v>2013</v>
      </c>
    </row>
    <row r="857" spans="1:35" ht="39" x14ac:dyDescent="0.25">
      <c r="A857" s="198" t="s">
        <v>3303</v>
      </c>
      <c r="B857" s="199" t="s">
        <v>3240</v>
      </c>
      <c r="C857" s="199" t="s">
        <v>3289</v>
      </c>
      <c r="D857" s="199" t="s">
        <v>3290</v>
      </c>
      <c r="E857" s="199" t="s">
        <v>3309</v>
      </c>
      <c r="F857" s="200"/>
      <c r="G857" s="201" t="s">
        <v>3310</v>
      </c>
      <c r="H857" s="198"/>
      <c r="I857" s="199"/>
      <c r="J857" s="229"/>
      <c r="K857" s="390"/>
      <c r="L857" s="391"/>
      <c r="M857" s="392"/>
      <c r="N857" s="393"/>
      <c r="O857" s="392"/>
      <c r="P857" s="394"/>
      <c r="Q857" s="570"/>
      <c r="R857" s="571"/>
      <c r="S857" s="572"/>
      <c r="T857" s="573"/>
      <c r="U857" s="572"/>
      <c r="V857" s="574"/>
      <c r="W857" s="756"/>
      <c r="X857" s="757"/>
      <c r="Y857" s="758"/>
      <c r="Z857" s="759"/>
      <c r="AA857" s="758"/>
      <c r="AB857" s="760"/>
      <c r="AC857" s="902"/>
      <c r="AD857" s="903"/>
      <c r="AE857" s="904"/>
      <c r="AF857" s="905"/>
      <c r="AG857" s="904"/>
      <c r="AH857" s="992"/>
      <c r="AI857" s="951" t="s">
        <v>2013</v>
      </c>
    </row>
    <row r="858" spans="1:35" x14ac:dyDescent="0.25">
      <c r="A858" s="198" t="s">
        <v>3311</v>
      </c>
      <c r="B858" s="199" t="s">
        <v>3240</v>
      </c>
      <c r="C858" s="199" t="s">
        <v>3289</v>
      </c>
      <c r="D858" s="199" t="s">
        <v>3290</v>
      </c>
      <c r="E858" s="199" t="s">
        <v>3312</v>
      </c>
      <c r="F858" s="200"/>
      <c r="G858" s="201" t="s">
        <v>3313</v>
      </c>
      <c r="H858" s="198"/>
      <c r="I858" s="199"/>
      <c r="J858" s="229"/>
      <c r="K858" s="390"/>
      <c r="L858" s="391"/>
      <c r="M858" s="392"/>
      <c r="N858" s="393"/>
      <c r="O858" s="392"/>
      <c r="P858" s="394"/>
      <c r="Q858" s="570"/>
      <c r="R858" s="571"/>
      <c r="S858" s="572"/>
      <c r="T858" s="573"/>
      <c r="U858" s="572"/>
      <c r="V858" s="574"/>
      <c r="W858" s="756"/>
      <c r="X858" s="757"/>
      <c r="Y858" s="758"/>
      <c r="Z858" s="759"/>
      <c r="AA858" s="758"/>
      <c r="AB858" s="760"/>
      <c r="AC858" s="902"/>
      <c r="AD858" s="903"/>
      <c r="AE858" s="904"/>
      <c r="AF858" s="905"/>
      <c r="AG858" s="904"/>
      <c r="AH858" s="992"/>
      <c r="AI858" s="951" t="s">
        <v>3314</v>
      </c>
    </row>
    <row r="859" spans="1:35" ht="26.25" x14ac:dyDescent="0.25">
      <c r="A859" s="198" t="s">
        <v>3315</v>
      </c>
      <c r="B859" s="199" t="s">
        <v>3240</v>
      </c>
      <c r="C859" s="199" t="s">
        <v>3289</v>
      </c>
      <c r="D859" s="199" t="s">
        <v>3290</v>
      </c>
      <c r="E859" s="199" t="s">
        <v>1837</v>
      </c>
      <c r="F859" s="200"/>
      <c r="G859" s="201" t="s">
        <v>3316</v>
      </c>
      <c r="H859" s="198"/>
      <c r="I859" s="199"/>
      <c r="J859" s="229"/>
      <c r="K859" s="390"/>
      <c r="L859" s="391"/>
      <c r="M859" s="392"/>
      <c r="N859" s="393"/>
      <c r="O859" s="392"/>
      <c r="P859" s="394"/>
      <c r="Q859" s="570"/>
      <c r="R859" s="571"/>
      <c r="S859" s="572"/>
      <c r="T859" s="573"/>
      <c r="U859" s="572"/>
      <c r="V859" s="574"/>
      <c r="W859" s="756"/>
      <c r="X859" s="757"/>
      <c r="Y859" s="758"/>
      <c r="Z859" s="759"/>
      <c r="AA859" s="758"/>
      <c r="AB859" s="760"/>
      <c r="AC859" s="902"/>
      <c r="AD859" s="903"/>
      <c r="AE859" s="904"/>
      <c r="AF859" s="905"/>
      <c r="AG859" s="904"/>
      <c r="AH859" s="992"/>
      <c r="AI859" s="951"/>
    </row>
    <row r="860" spans="1:35" ht="26.25" x14ac:dyDescent="0.25">
      <c r="A860" s="198" t="s">
        <v>3317</v>
      </c>
      <c r="B860" s="199" t="s">
        <v>3240</v>
      </c>
      <c r="C860" s="199" t="s">
        <v>3289</v>
      </c>
      <c r="D860" s="199" t="s">
        <v>3290</v>
      </c>
      <c r="E860" s="199" t="s">
        <v>3318</v>
      </c>
      <c r="F860" s="200"/>
      <c r="G860" s="201" t="s">
        <v>3319</v>
      </c>
      <c r="H860" s="198"/>
      <c r="I860" s="199"/>
      <c r="J860" s="229"/>
      <c r="K860" s="390"/>
      <c r="L860" s="391"/>
      <c r="M860" s="392"/>
      <c r="N860" s="393"/>
      <c r="O860" s="392"/>
      <c r="P860" s="394"/>
      <c r="Q860" s="570"/>
      <c r="R860" s="571"/>
      <c r="S860" s="572"/>
      <c r="T860" s="573"/>
      <c r="U860" s="572"/>
      <c r="V860" s="574"/>
      <c r="W860" s="756"/>
      <c r="X860" s="757"/>
      <c r="Y860" s="758"/>
      <c r="Z860" s="759"/>
      <c r="AA860" s="758"/>
      <c r="AB860" s="760"/>
      <c r="AC860" s="902"/>
      <c r="AD860" s="903"/>
      <c r="AE860" s="904"/>
      <c r="AF860" s="905"/>
      <c r="AG860" s="904"/>
      <c r="AH860" s="992"/>
      <c r="AI860" s="951"/>
    </row>
    <row r="861" spans="1:35" ht="26.25" x14ac:dyDescent="0.25">
      <c r="A861" s="198" t="s">
        <v>3320</v>
      </c>
      <c r="B861" s="199" t="s">
        <v>3240</v>
      </c>
      <c r="C861" s="199" t="s">
        <v>3289</v>
      </c>
      <c r="D861" s="199" t="s">
        <v>3290</v>
      </c>
      <c r="E861" s="199" t="s">
        <v>3321</v>
      </c>
      <c r="F861" s="200"/>
      <c r="G861" s="201" t="s">
        <v>3322</v>
      </c>
      <c r="H861" s="198"/>
      <c r="I861" s="199"/>
      <c r="J861" s="229"/>
      <c r="K861" s="390"/>
      <c r="L861" s="391"/>
      <c r="M861" s="392"/>
      <c r="N861" s="393"/>
      <c r="O861" s="392"/>
      <c r="P861" s="394"/>
      <c r="Q861" s="570"/>
      <c r="R861" s="571"/>
      <c r="S861" s="572"/>
      <c r="T861" s="573"/>
      <c r="U861" s="572"/>
      <c r="V861" s="574"/>
      <c r="W861" s="756"/>
      <c r="X861" s="757"/>
      <c r="Y861" s="758"/>
      <c r="Z861" s="759"/>
      <c r="AA861" s="758"/>
      <c r="AB861" s="760"/>
      <c r="AC861" s="902"/>
      <c r="AD861" s="903"/>
      <c r="AE861" s="904"/>
      <c r="AF861" s="905"/>
      <c r="AG861" s="904"/>
      <c r="AH861" s="992"/>
      <c r="AI861" s="951" t="s">
        <v>2013</v>
      </c>
    </row>
    <row r="862" spans="1:35" x14ac:dyDescent="0.25">
      <c r="A862" s="198" t="s">
        <v>3323</v>
      </c>
      <c r="B862" s="199" t="s">
        <v>3240</v>
      </c>
      <c r="C862" s="199" t="s">
        <v>3289</v>
      </c>
      <c r="D862" s="199" t="s">
        <v>3290</v>
      </c>
      <c r="E862" s="199" t="s">
        <v>3324</v>
      </c>
      <c r="F862" s="200"/>
      <c r="G862" s="201" t="s">
        <v>3325</v>
      </c>
      <c r="H862" s="198"/>
      <c r="I862" s="199"/>
      <c r="J862" s="229"/>
      <c r="K862" s="390"/>
      <c r="L862" s="391"/>
      <c r="M862" s="392"/>
      <c r="N862" s="393"/>
      <c r="O862" s="392"/>
      <c r="P862" s="394"/>
      <c r="Q862" s="570"/>
      <c r="R862" s="571"/>
      <c r="S862" s="572"/>
      <c r="T862" s="573"/>
      <c r="U862" s="572"/>
      <c r="V862" s="574"/>
      <c r="W862" s="756"/>
      <c r="X862" s="757"/>
      <c r="Y862" s="758"/>
      <c r="Z862" s="759"/>
      <c r="AA862" s="758"/>
      <c r="AB862" s="760"/>
      <c r="AC862" s="902"/>
      <c r="AD862" s="903"/>
      <c r="AE862" s="904"/>
      <c r="AF862" s="905"/>
      <c r="AG862" s="904"/>
      <c r="AH862" s="992"/>
      <c r="AI862" s="951"/>
    </row>
    <row r="863" spans="1:35" ht="39" x14ac:dyDescent="0.25">
      <c r="A863" s="198" t="s">
        <v>3326</v>
      </c>
      <c r="B863" s="199" t="s">
        <v>3240</v>
      </c>
      <c r="C863" s="199" t="s">
        <v>3289</v>
      </c>
      <c r="D863" s="199" t="s">
        <v>3290</v>
      </c>
      <c r="E863" s="199" t="s">
        <v>3327</v>
      </c>
      <c r="F863" s="200"/>
      <c r="G863" s="201" t="s">
        <v>3328</v>
      </c>
      <c r="H863" s="198"/>
      <c r="I863" s="199"/>
      <c r="J863" s="229"/>
      <c r="K863" s="390"/>
      <c r="L863" s="391"/>
      <c r="M863" s="392"/>
      <c r="N863" s="393"/>
      <c r="O863" s="392"/>
      <c r="P863" s="394"/>
      <c r="Q863" s="570"/>
      <c r="R863" s="571"/>
      <c r="S863" s="572"/>
      <c r="T863" s="573"/>
      <c r="U863" s="572"/>
      <c r="V863" s="574"/>
      <c r="W863" s="756"/>
      <c r="X863" s="757"/>
      <c r="Y863" s="758"/>
      <c r="Z863" s="759"/>
      <c r="AA863" s="758"/>
      <c r="AB863" s="760"/>
      <c r="AC863" s="902"/>
      <c r="AD863" s="903"/>
      <c r="AE863" s="904"/>
      <c r="AF863" s="905"/>
      <c r="AG863" s="904"/>
      <c r="AH863" s="992"/>
      <c r="AI863" s="951" t="s">
        <v>2013</v>
      </c>
    </row>
    <row r="864" spans="1:35" ht="26.25" x14ac:dyDescent="0.25">
      <c r="A864" s="198" t="s">
        <v>3329</v>
      </c>
      <c r="B864" s="199" t="s">
        <v>3240</v>
      </c>
      <c r="C864" s="199" t="s">
        <v>3289</v>
      </c>
      <c r="D864" s="199" t="s">
        <v>3290</v>
      </c>
      <c r="E864" s="199" t="s">
        <v>2879</v>
      </c>
      <c r="F864" s="200"/>
      <c r="G864" s="201" t="s">
        <v>3330</v>
      </c>
      <c r="H864" s="198"/>
      <c r="I864" s="199"/>
      <c r="J864" s="229"/>
      <c r="K864" s="390"/>
      <c r="L864" s="391"/>
      <c r="M864" s="392"/>
      <c r="N864" s="393"/>
      <c r="O864" s="392"/>
      <c r="P864" s="394"/>
      <c r="Q864" s="570"/>
      <c r="R864" s="571"/>
      <c r="S864" s="572"/>
      <c r="T864" s="573"/>
      <c r="U864" s="572"/>
      <c r="V864" s="574"/>
      <c r="W864" s="756"/>
      <c r="X864" s="757"/>
      <c r="Y864" s="758"/>
      <c r="Z864" s="759"/>
      <c r="AA864" s="758"/>
      <c r="AB864" s="760"/>
      <c r="AC864" s="902"/>
      <c r="AD864" s="903"/>
      <c r="AE864" s="904"/>
      <c r="AF864" s="905"/>
      <c r="AG864" s="904"/>
      <c r="AH864" s="992"/>
      <c r="AI864" s="951"/>
    </row>
    <row r="865" spans="1:35" ht="39" x14ac:dyDescent="0.25">
      <c r="A865" s="198" t="s">
        <v>3331</v>
      </c>
      <c r="B865" s="199" t="s">
        <v>3240</v>
      </c>
      <c r="C865" s="199" t="s">
        <v>3289</v>
      </c>
      <c r="D865" s="199" t="s">
        <v>3290</v>
      </c>
      <c r="E865" s="199" t="s">
        <v>3332</v>
      </c>
      <c r="F865" s="200"/>
      <c r="G865" s="201" t="s">
        <v>3333</v>
      </c>
      <c r="H865" s="198"/>
      <c r="I865" s="199"/>
      <c r="J865" s="229"/>
      <c r="K865" s="390"/>
      <c r="L865" s="391"/>
      <c r="M865" s="392"/>
      <c r="N865" s="393"/>
      <c r="O865" s="392"/>
      <c r="P865" s="394"/>
      <c r="Q865" s="570"/>
      <c r="R865" s="571"/>
      <c r="S865" s="572"/>
      <c r="T865" s="573"/>
      <c r="U865" s="572"/>
      <c r="V865" s="574"/>
      <c r="W865" s="756"/>
      <c r="X865" s="757"/>
      <c r="Y865" s="758"/>
      <c r="Z865" s="759"/>
      <c r="AA865" s="758"/>
      <c r="AB865" s="760"/>
      <c r="AC865" s="902"/>
      <c r="AD865" s="903"/>
      <c r="AE865" s="904"/>
      <c r="AF865" s="905"/>
      <c r="AG865" s="904"/>
      <c r="AH865" s="992"/>
      <c r="AI865" s="951"/>
    </row>
    <row r="866" spans="1:35" x14ac:dyDescent="0.25">
      <c r="A866" s="198" t="s">
        <v>3334</v>
      </c>
      <c r="B866" s="199" t="s">
        <v>3240</v>
      </c>
      <c r="C866" s="199" t="s">
        <v>3289</v>
      </c>
      <c r="D866" s="199" t="s">
        <v>3290</v>
      </c>
      <c r="E866" s="199" t="s">
        <v>3335</v>
      </c>
      <c r="F866" s="200"/>
      <c r="G866" s="201" t="s">
        <v>3336</v>
      </c>
      <c r="H866" s="198"/>
      <c r="I866" s="199"/>
      <c r="J866" s="229"/>
      <c r="K866" s="390"/>
      <c r="L866" s="391"/>
      <c r="M866" s="392"/>
      <c r="N866" s="393"/>
      <c r="O866" s="392"/>
      <c r="P866" s="394"/>
      <c r="Q866" s="570"/>
      <c r="R866" s="571"/>
      <c r="S866" s="572"/>
      <c r="T866" s="573"/>
      <c r="U866" s="572"/>
      <c r="V866" s="574"/>
      <c r="W866" s="756"/>
      <c r="X866" s="757"/>
      <c r="Y866" s="758"/>
      <c r="Z866" s="759"/>
      <c r="AA866" s="758"/>
      <c r="AB866" s="760"/>
      <c r="AC866" s="902"/>
      <c r="AD866" s="903"/>
      <c r="AE866" s="904"/>
      <c r="AF866" s="905"/>
      <c r="AG866" s="904"/>
      <c r="AH866" s="992"/>
      <c r="AI866" s="951"/>
    </row>
    <row r="867" spans="1:35" ht="26.25" x14ac:dyDescent="0.25">
      <c r="A867" s="198" t="s">
        <v>3337</v>
      </c>
      <c r="B867" s="199" t="s">
        <v>3240</v>
      </c>
      <c r="C867" s="199" t="s">
        <v>3289</v>
      </c>
      <c r="D867" s="199" t="s">
        <v>3290</v>
      </c>
      <c r="E867" s="199" t="s">
        <v>3338</v>
      </c>
      <c r="F867" s="200"/>
      <c r="G867" s="201" t="s">
        <v>3339</v>
      </c>
      <c r="H867" s="198"/>
      <c r="I867" s="199"/>
      <c r="J867" s="229"/>
      <c r="K867" s="390"/>
      <c r="L867" s="391"/>
      <c r="M867" s="392"/>
      <c r="N867" s="393"/>
      <c r="O867" s="392"/>
      <c r="P867" s="394"/>
      <c r="Q867" s="570"/>
      <c r="R867" s="571"/>
      <c r="S867" s="572"/>
      <c r="T867" s="573"/>
      <c r="U867" s="572"/>
      <c r="V867" s="574"/>
      <c r="W867" s="756"/>
      <c r="X867" s="757"/>
      <c r="Y867" s="758"/>
      <c r="Z867" s="759"/>
      <c r="AA867" s="758"/>
      <c r="AB867" s="760"/>
      <c r="AC867" s="902"/>
      <c r="AD867" s="903"/>
      <c r="AE867" s="904"/>
      <c r="AF867" s="905"/>
      <c r="AG867" s="904"/>
      <c r="AH867" s="992"/>
      <c r="AI867" s="951" t="s">
        <v>2013</v>
      </c>
    </row>
    <row r="868" spans="1:35" ht="39" x14ac:dyDescent="0.25">
      <c r="A868" s="198" t="s">
        <v>3340</v>
      </c>
      <c r="B868" s="199" t="s">
        <v>3240</v>
      </c>
      <c r="C868" s="199" t="s">
        <v>3289</v>
      </c>
      <c r="D868" s="199" t="s">
        <v>3290</v>
      </c>
      <c r="E868" s="199" t="s">
        <v>3341</v>
      </c>
      <c r="F868" s="200"/>
      <c r="G868" s="201" t="s">
        <v>3341</v>
      </c>
      <c r="H868" s="198"/>
      <c r="I868" s="199"/>
      <c r="J868" s="229"/>
      <c r="K868" s="390"/>
      <c r="L868" s="391"/>
      <c r="M868" s="392"/>
      <c r="N868" s="393"/>
      <c r="O868" s="392"/>
      <c r="P868" s="394"/>
      <c r="Q868" s="570"/>
      <c r="R868" s="571"/>
      <c r="S868" s="572"/>
      <c r="T868" s="573"/>
      <c r="U868" s="572"/>
      <c r="V868" s="574"/>
      <c r="W868" s="756"/>
      <c r="X868" s="757"/>
      <c r="Y868" s="758"/>
      <c r="Z868" s="759"/>
      <c r="AA868" s="758"/>
      <c r="AB868" s="760"/>
      <c r="AC868" s="902"/>
      <c r="AD868" s="903"/>
      <c r="AE868" s="904"/>
      <c r="AF868" s="905"/>
      <c r="AG868" s="904"/>
      <c r="AH868" s="992"/>
      <c r="AI868" s="951"/>
    </row>
    <row r="869" spans="1:35" x14ac:dyDescent="0.25">
      <c r="A869" s="198" t="s">
        <v>3342</v>
      </c>
      <c r="B869" s="199" t="s">
        <v>3240</v>
      </c>
      <c r="C869" s="199" t="s">
        <v>3289</v>
      </c>
      <c r="D869" s="199" t="s">
        <v>3290</v>
      </c>
      <c r="E869" s="199" t="s">
        <v>3343</v>
      </c>
      <c r="F869" s="200"/>
      <c r="G869" s="201" t="s">
        <v>3344</v>
      </c>
      <c r="H869" s="198"/>
      <c r="I869" s="199"/>
      <c r="J869" s="229"/>
      <c r="K869" s="390"/>
      <c r="L869" s="391"/>
      <c r="M869" s="392"/>
      <c r="N869" s="393"/>
      <c r="O869" s="392"/>
      <c r="P869" s="394"/>
      <c r="Q869" s="570"/>
      <c r="R869" s="571"/>
      <c r="S869" s="572"/>
      <c r="T869" s="573"/>
      <c r="U869" s="572"/>
      <c r="V869" s="574"/>
      <c r="W869" s="756"/>
      <c r="X869" s="757"/>
      <c r="Y869" s="758"/>
      <c r="Z869" s="759"/>
      <c r="AA869" s="758"/>
      <c r="AB869" s="760"/>
      <c r="AC869" s="902"/>
      <c r="AD869" s="903"/>
      <c r="AE869" s="904"/>
      <c r="AF869" s="905"/>
      <c r="AG869" s="904"/>
      <c r="AH869" s="992"/>
      <c r="AI869" s="951" t="s">
        <v>2013</v>
      </c>
    </row>
    <row r="870" spans="1:35" ht="26.25" x14ac:dyDescent="0.25">
      <c r="A870" s="198" t="s">
        <v>3345</v>
      </c>
      <c r="B870" s="199" t="s">
        <v>3240</v>
      </c>
      <c r="C870" s="199" t="s">
        <v>3289</v>
      </c>
      <c r="D870" s="199" t="s">
        <v>3290</v>
      </c>
      <c r="E870" s="199" t="s">
        <v>1407</v>
      </c>
      <c r="F870" s="200"/>
      <c r="G870" s="201" t="s">
        <v>3346</v>
      </c>
      <c r="H870" s="198"/>
      <c r="I870" s="199"/>
      <c r="J870" s="229"/>
      <c r="K870" s="390"/>
      <c r="L870" s="391"/>
      <c r="M870" s="392"/>
      <c r="N870" s="393"/>
      <c r="O870" s="392"/>
      <c r="P870" s="394"/>
      <c r="Q870" s="570"/>
      <c r="R870" s="571"/>
      <c r="S870" s="572"/>
      <c r="T870" s="573"/>
      <c r="U870" s="572"/>
      <c r="V870" s="574"/>
      <c r="W870" s="756"/>
      <c r="X870" s="757"/>
      <c r="Y870" s="758"/>
      <c r="Z870" s="759"/>
      <c r="AA870" s="758"/>
      <c r="AB870" s="760"/>
      <c r="AC870" s="902"/>
      <c r="AD870" s="903"/>
      <c r="AE870" s="904"/>
      <c r="AF870" s="905"/>
      <c r="AG870" s="904"/>
      <c r="AH870" s="992"/>
      <c r="AI870" s="951" t="s">
        <v>3347</v>
      </c>
    </row>
    <row r="871" spans="1:35" ht="26.25" x14ac:dyDescent="0.25">
      <c r="A871" s="198" t="s">
        <v>3348</v>
      </c>
      <c r="B871" s="199" t="s">
        <v>3240</v>
      </c>
      <c r="C871" s="199" t="s">
        <v>3289</v>
      </c>
      <c r="D871" s="199" t="s">
        <v>3290</v>
      </c>
      <c r="E871" s="199" t="s">
        <v>3349</v>
      </c>
      <c r="F871" s="200"/>
      <c r="G871" s="201" t="s">
        <v>3350</v>
      </c>
      <c r="H871" s="198"/>
      <c r="I871" s="199"/>
      <c r="J871" s="229"/>
      <c r="K871" s="390"/>
      <c r="L871" s="391"/>
      <c r="M871" s="392"/>
      <c r="N871" s="393"/>
      <c r="O871" s="392"/>
      <c r="P871" s="394"/>
      <c r="Q871" s="570"/>
      <c r="R871" s="571"/>
      <c r="S871" s="572"/>
      <c r="T871" s="573"/>
      <c r="U871" s="572"/>
      <c r="V871" s="574"/>
      <c r="W871" s="756"/>
      <c r="X871" s="757"/>
      <c r="Y871" s="758"/>
      <c r="Z871" s="759"/>
      <c r="AA871" s="758"/>
      <c r="AB871" s="760"/>
      <c r="AC871" s="902"/>
      <c r="AD871" s="903"/>
      <c r="AE871" s="904"/>
      <c r="AF871" s="905"/>
      <c r="AG871" s="904"/>
      <c r="AH871" s="992"/>
      <c r="AI871" s="951" t="s">
        <v>2013</v>
      </c>
    </row>
    <row r="872" spans="1:35" ht="26.25" x14ac:dyDescent="0.25">
      <c r="A872" s="198" t="s">
        <v>3351</v>
      </c>
      <c r="B872" s="199" t="s">
        <v>3240</v>
      </c>
      <c r="C872" s="199" t="s">
        <v>3289</v>
      </c>
      <c r="D872" s="199" t="s">
        <v>3290</v>
      </c>
      <c r="E872" s="199" t="s">
        <v>1892</v>
      </c>
      <c r="F872" s="200"/>
      <c r="G872" s="201" t="s">
        <v>3352</v>
      </c>
      <c r="H872" s="198"/>
      <c r="I872" s="199"/>
      <c r="J872" s="229"/>
      <c r="K872" s="390"/>
      <c r="L872" s="391"/>
      <c r="M872" s="392"/>
      <c r="N872" s="393"/>
      <c r="O872" s="392"/>
      <c r="P872" s="394"/>
      <c r="Q872" s="570"/>
      <c r="R872" s="571"/>
      <c r="S872" s="572"/>
      <c r="T872" s="573"/>
      <c r="U872" s="572"/>
      <c r="V872" s="574"/>
      <c r="W872" s="756"/>
      <c r="X872" s="757"/>
      <c r="Y872" s="758"/>
      <c r="Z872" s="759"/>
      <c r="AA872" s="758"/>
      <c r="AB872" s="760"/>
      <c r="AC872" s="902"/>
      <c r="AD872" s="903"/>
      <c r="AE872" s="904"/>
      <c r="AF872" s="905"/>
      <c r="AG872" s="904"/>
      <c r="AH872" s="992"/>
      <c r="AI872" s="951"/>
    </row>
    <row r="873" spans="1:35" x14ac:dyDescent="0.25">
      <c r="A873" s="198" t="s">
        <v>3353</v>
      </c>
      <c r="B873" s="199" t="s">
        <v>3240</v>
      </c>
      <c r="C873" s="199" t="s">
        <v>3289</v>
      </c>
      <c r="D873" s="199" t="s">
        <v>3290</v>
      </c>
      <c r="E873" s="199" t="s">
        <v>3354</v>
      </c>
      <c r="F873" s="200"/>
      <c r="G873" s="201" t="s">
        <v>3355</v>
      </c>
      <c r="H873" s="198"/>
      <c r="I873" s="199"/>
      <c r="J873" s="229"/>
      <c r="K873" s="390"/>
      <c r="L873" s="391"/>
      <c r="M873" s="392"/>
      <c r="N873" s="393"/>
      <c r="O873" s="392"/>
      <c r="P873" s="394"/>
      <c r="Q873" s="570"/>
      <c r="R873" s="571"/>
      <c r="S873" s="572"/>
      <c r="T873" s="573"/>
      <c r="U873" s="572"/>
      <c r="V873" s="574"/>
      <c r="W873" s="756"/>
      <c r="X873" s="757"/>
      <c r="Y873" s="758"/>
      <c r="Z873" s="759"/>
      <c r="AA873" s="758"/>
      <c r="AB873" s="760"/>
      <c r="AC873" s="902"/>
      <c r="AD873" s="903"/>
      <c r="AE873" s="904"/>
      <c r="AF873" s="905"/>
      <c r="AG873" s="904"/>
      <c r="AH873" s="992"/>
      <c r="AI873" s="951"/>
    </row>
    <row r="874" spans="1:35" ht="39" x14ac:dyDescent="0.25">
      <c r="A874" s="198" t="s">
        <v>3356</v>
      </c>
      <c r="B874" s="199" t="s">
        <v>3240</v>
      </c>
      <c r="C874" s="199" t="s">
        <v>3289</v>
      </c>
      <c r="D874" s="199" t="s">
        <v>3290</v>
      </c>
      <c r="E874" s="199" t="s">
        <v>419</v>
      </c>
      <c r="F874" s="200"/>
      <c r="G874" s="201" t="s">
        <v>3357</v>
      </c>
      <c r="H874" s="198"/>
      <c r="I874" s="199"/>
      <c r="J874" s="229"/>
      <c r="K874" s="390"/>
      <c r="L874" s="391"/>
      <c r="M874" s="392"/>
      <c r="N874" s="393"/>
      <c r="O874" s="392"/>
      <c r="P874" s="394"/>
      <c r="Q874" s="570"/>
      <c r="R874" s="571"/>
      <c r="S874" s="572"/>
      <c r="T874" s="573"/>
      <c r="U874" s="572"/>
      <c r="V874" s="574"/>
      <c r="W874" s="756"/>
      <c r="X874" s="757"/>
      <c r="Y874" s="758"/>
      <c r="Z874" s="759"/>
      <c r="AA874" s="758"/>
      <c r="AB874" s="760"/>
      <c r="AC874" s="902"/>
      <c r="AD874" s="903"/>
      <c r="AE874" s="904"/>
      <c r="AF874" s="905"/>
      <c r="AG874" s="904"/>
      <c r="AH874" s="992"/>
      <c r="AI874" s="951"/>
    </row>
    <row r="875" spans="1:35" ht="26.25" x14ac:dyDescent="0.25">
      <c r="A875" s="198" t="s">
        <v>3358</v>
      </c>
      <c r="B875" s="199" t="s">
        <v>3240</v>
      </c>
      <c r="C875" s="199" t="s">
        <v>3289</v>
      </c>
      <c r="D875" s="199" t="s">
        <v>3290</v>
      </c>
      <c r="E875" s="199" t="s">
        <v>3359</v>
      </c>
      <c r="F875" s="200"/>
      <c r="G875" s="201" t="s">
        <v>3360</v>
      </c>
      <c r="H875" s="198"/>
      <c r="I875" s="199"/>
      <c r="J875" s="229"/>
      <c r="K875" s="390"/>
      <c r="L875" s="391"/>
      <c r="M875" s="392"/>
      <c r="N875" s="393"/>
      <c r="O875" s="392"/>
      <c r="P875" s="394"/>
      <c r="Q875" s="570"/>
      <c r="R875" s="571"/>
      <c r="S875" s="572"/>
      <c r="T875" s="573"/>
      <c r="U875" s="572"/>
      <c r="V875" s="574"/>
      <c r="W875" s="756"/>
      <c r="X875" s="757"/>
      <c r="Y875" s="758"/>
      <c r="Z875" s="759"/>
      <c r="AA875" s="758"/>
      <c r="AB875" s="760"/>
      <c r="AC875" s="902"/>
      <c r="AD875" s="903"/>
      <c r="AE875" s="904"/>
      <c r="AF875" s="905"/>
      <c r="AG875" s="904"/>
      <c r="AH875" s="992"/>
      <c r="AI875" s="951" t="s">
        <v>2013</v>
      </c>
    </row>
    <row r="876" spans="1:35" ht="39" x14ac:dyDescent="0.25">
      <c r="A876" s="198" t="s">
        <v>3361</v>
      </c>
      <c r="B876" s="199" t="s">
        <v>3240</v>
      </c>
      <c r="C876" s="199" t="s">
        <v>3289</v>
      </c>
      <c r="D876" s="199" t="s">
        <v>3290</v>
      </c>
      <c r="E876" s="199" t="s">
        <v>3362</v>
      </c>
      <c r="F876" s="200"/>
      <c r="G876" s="201" t="s">
        <v>3362</v>
      </c>
      <c r="H876" s="198"/>
      <c r="I876" s="199"/>
      <c r="J876" s="229"/>
      <c r="K876" s="390"/>
      <c r="L876" s="391"/>
      <c r="M876" s="392"/>
      <c r="N876" s="393"/>
      <c r="O876" s="392"/>
      <c r="P876" s="394"/>
      <c r="Q876" s="570"/>
      <c r="R876" s="571"/>
      <c r="S876" s="572"/>
      <c r="T876" s="573"/>
      <c r="U876" s="572"/>
      <c r="V876" s="574"/>
      <c r="W876" s="756"/>
      <c r="X876" s="757"/>
      <c r="Y876" s="758"/>
      <c r="Z876" s="759"/>
      <c r="AA876" s="758"/>
      <c r="AB876" s="760"/>
      <c r="AC876" s="902"/>
      <c r="AD876" s="903"/>
      <c r="AE876" s="904"/>
      <c r="AF876" s="905"/>
      <c r="AG876" s="904"/>
      <c r="AH876" s="992"/>
      <c r="AI876" s="951" t="s">
        <v>2013</v>
      </c>
    </row>
    <row r="877" spans="1:35" ht="51.75" x14ac:dyDescent="0.25">
      <c r="A877" s="198" t="s">
        <v>3363</v>
      </c>
      <c r="B877" s="199" t="s">
        <v>3240</v>
      </c>
      <c r="C877" s="199" t="s">
        <v>3289</v>
      </c>
      <c r="D877" s="199" t="s">
        <v>3290</v>
      </c>
      <c r="E877" s="199" t="s">
        <v>3364</v>
      </c>
      <c r="F877" s="200"/>
      <c r="G877" s="201" t="s">
        <v>3365</v>
      </c>
      <c r="H877" s="198"/>
      <c r="I877" s="199"/>
      <c r="J877" s="229"/>
      <c r="K877" s="390"/>
      <c r="L877" s="391"/>
      <c r="M877" s="392"/>
      <c r="N877" s="393"/>
      <c r="O877" s="392"/>
      <c r="P877" s="394"/>
      <c r="Q877" s="570"/>
      <c r="R877" s="571"/>
      <c r="S877" s="572"/>
      <c r="T877" s="573"/>
      <c r="U877" s="572"/>
      <c r="V877" s="574"/>
      <c r="W877" s="756"/>
      <c r="X877" s="757"/>
      <c r="Y877" s="758"/>
      <c r="Z877" s="759"/>
      <c r="AA877" s="758"/>
      <c r="AB877" s="760"/>
      <c r="AC877" s="902"/>
      <c r="AD877" s="903"/>
      <c r="AE877" s="904"/>
      <c r="AF877" s="905"/>
      <c r="AG877" s="904"/>
      <c r="AH877" s="992"/>
      <c r="AI877" s="951"/>
    </row>
    <row r="878" spans="1:35" x14ac:dyDescent="0.25">
      <c r="A878" s="198" t="s">
        <v>3366</v>
      </c>
      <c r="B878" s="199" t="s">
        <v>3240</v>
      </c>
      <c r="C878" s="199" t="s">
        <v>3289</v>
      </c>
      <c r="D878" s="199" t="s">
        <v>3290</v>
      </c>
      <c r="E878" s="199" t="s">
        <v>3367</v>
      </c>
      <c r="F878" s="200"/>
      <c r="G878" s="201" t="s">
        <v>3368</v>
      </c>
      <c r="H878" s="198"/>
      <c r="I878" s="199"/>
      <c r="J878" s="229"/>
      <c r="K878" s="390"/>
      <c r="L878" s="391"/>
      <c r="M878" s="392"/>
      <c r="N878" s="393"/>
      <c r="O878" s="392"/>
      <c r="P878" s="394"/>
      <c r="Q878" s="570"/>
      <c r="R878" s="571"/>
      <c r="S878" s="572"/>
      <c r="T878" s="573"/>
      <c r="U878" s="572"/>
      <c r="V878" s="574"/>
      <c r="W878" s="756"/>
      <c r="X878" s="757"/>
      <c r="Y878" s="758"/>
      <c r="Z878" s="759"/>
      <c r="AA878" s="758"/>
      <c r="AB878" s="760"/>
      <c r="AC878" s="902"/>
      <c r="AD878" s="903"/>
      <c r="AE878" s="904"/>
      <c r="AF878" s="905"/>
      <c r="AG878" s="904"/>
      <c r="AH878" s="992"/>
      <c r="AI878" s="951" t="s">
        <v>2013</v>
      </c>
    </row>
    <row r="879" spans="1:35" ht="26.25" x14ac:dyDescent="0.25">
      <c r="A879" s="198" t="s">
        <v>3369</v>
      </c>
      <c r="B879" s="199" t="s">
        <v>3240</v>
      </c>
      <c r="C879" s="199" t="s">
        <v>3289</v>
      </c>
      <c r="D879" s="199" t="s">
        <v>3290</v>
      </c>
      <c r="E879" s="199" t="s">
        <v>3370</v>
      </c>
      <c r="F879" s="200"/>
      <c r="G879" s="201" t="s">
        <v>3371</v>
      </c>
      <c r="H879" s="198"/>
      <c r="I879" s="199"/>
      <c r="J879" s="229"/>
      <c r="K879" s="390"/>
      <c r="L879" s="391"/>
      <c r="M879" s="392"/>
      <c r="N879" s="393"/>
      <c r="O879" s="392"/>
      <c r="P879" s="394"/>
      <c r="Q879" s="570"/>
      <c r="R879" s="571"/>
      <c r="S879" s="572"/>
      <c r="T879" s="573"/>
      <c r="U879" s="572"/>
      <c r="V879" s="574"/>
      <c r="W879" s="756"/>
      <c r="X879" s="757"/>
      <c r="Y879" s="758"/>
      <c r="Z879" s="759"/>
      <c r="AA879" s="758"/>
      <c r="AB879" s="760"/>
      <c r="AC879" s="902"/>
      <c r="AD879" s="903"/>
      <c r="AE879" s="904"/>
      <c r="AF879" s="905"/>
      <c r="AG879" s="904"/>
      <c r="AH879" s="992"/>
      <c r="AI879" s="951"/>
    </row>
    <row r="880" spans="1:35" ht="64.5" x14ac:dyDescent="0.25">
      <c r="A880" s="198" t="s">
        <v>3372</v>
      </c>
      <c r="B880" s="199" t="s">
        <v>3240</v>
      </c>
      <c r="C880" s="199" t="s">
        <v>3289</v>
      </c>
      <c r="D880" s="199" t="s">
        <v>3290</v>
      </c>
      <c r="E880" s="199" t="s">
        <v>3373</v>
      </c>
      <c r="F880" s="200"/>
      <c r="G880" s="201" t="s">
        <v>3374</v>
      </c>
      <c r="H880" s="198"/>
      <c r="I880" s="199"/>
      <c r="J880" s="229"/>
      <c r="K880" s="390"/>
      <c r="L880" s="391"/>
      <c r="M880" s="392"/>
      <c r="N880" s="393"/>
      <c r="O880" s="392"/>
      <c r="P880" s="394"/>
      <c r="Q880" s="570"/>
      <c r="R880" s="571"/>
      <c r="S880" s="572"/>
      <c r="T880" s="573"/>
      <c r="U880" s="572"/>
      <c r="V880" s="574"/>
      <c r="W880" s="756"/>
      <c r="X880" s="757"/>
      <c r="Y880" s="758"/>
      <c r="Z880" s="759"/>
      <c r="AA880" s="758"/>
      <c r="AB880" s="760"/>
      <c r="AC880" s="902"/>
      <c r="AD880" s="903"/>
      <c r="AE880" s="904"/>
      <c r="AF880" s="905"/>
      <c r="AG880" s="904"/>
      <c r="AH880" s="992"/>
      <c r="AI880" s="951" t="s">
        <v>3011</v>
      </c>
    </row>
    <row r="881" spans="1:35" ht="51.75" x14ac:dyDescent="0.25">
      <c r="A881" s="198" t="s">
        <v>3375</v>
      </c>
      <c r="B881" s="199" t="s">
        <v>3240</v>
      </c>
      <c r="C881" s="199" t="s">
        <v>3289</v>
      </c>
      <c r="D881" s="199" t="s">
        <v>3290</v>
      </c>
      <c r="E881" s="199" t="s">
        <v>3376</v>
      </c>
      <c r="F881" s="200"/>
      <c r="G881" s="201" t="s">
        <v>3377</v>
      </c>
      <c r="H881" s="198"/>
      <c r="I881" s="199"/>
      <c r="J881" s="229"/>
      <c r="K881" s="390"/>
      <c r="L881" s="391"/>
      <c r="M881" s="392"/>
      <c r="N881" s="393"/>
      <c r="O881" s="392"/>
      <c r="P881" s="394"/>
      <c r="Q881" s="570"/>
      <c r="R881" s="571"/>
      <c r="S881" s="572"/>
      <c r="T881" s="573"/>
      <c r="U881" s="572"/>
      <c r="V881" s="574"/>
      <c r="W881" s="756"/>
      <c r="X881" s="757"/>
      <c r="Y881" s="758"/>
      <c r="Z881" s="759"/>
      <c r="AA881" s="758"/>
      <c r="AB881" s="760"/>
      <c r="AC881" s="902"/>
      <c r="AD881" s="903"/>
      <c r="AE881" s="904"/>
      <c r="AF881" s="905"/>
      <c r="AG881" s="904"/>
      <c r="AH881" s="992"/>
      <c r="AI881" s="951" t="s">
        <v>3378</v>
      </c>
    </row>
    <row r="882" spans="1:35" ht="64.5" x14ac:dyDescent="0.25">
      <c r="A882" s="198" t="s">
        <v>3379</v>
      </c>
      <c r="B882" s="199" t="s">
        <v>3240</v>
      </c>
      <c r="C882" s="199" t="s">
        <v>3289</v>
      </c>
      <c r="D882" s="199" t="s">
        <v>3290</v>
      </c>
      <c r="E882" s="199" t="s">
        <v>3380</v>
      </c>
      <c r="F882" s="200"/>
      <c r="G882" s="201" t="s">
        <v>3381</v>
      </c>
      <c r="H882" s="198"/>
      <c r="I882" s="199"/>
      <c r="J882" s="229"/>
      <c r="K882" s="390"/>
      <c r="L882" s="391"/>
      <c r="M882" s="392"/>
      <c r="N882" s="393"/>
      <c r="O882" s="392"/>
      <c r="P882" s="394"/>
      <c r="Q882" s="570"/>
      <c r="R882" s="571"/>
      <c r="S882" s="572"/>
      <c r="T882" s="573"/>
      <c r="U882" s="572"/>
      <c r="V882" s="574"/>
      <c r="W882" s="756"/>
      <c r="X882" s="757"/>
      <c r="Y882" s="758"/>
      <c r="Z882" s="759"/>
      <c r="AA882" s="758"/>
      <c r="AB882" s="760"/>
      <c r="AC882" s="902"/>
      <c r="AD882" s="903"/>
      <c r="AE882" s="904"/>
      <c r="AF882" s="905"/>
      <c r="AG882" s="904"/>
      <c r="AH882" s="992"/>
      <c r="AI882" s="951" t="s">
        <v>3382</v>
      </c>
    </row>
    <row r="883" spans="1:35" ht="39" x14ac:dyDescent="0.25">
      <c r="A883" s="198" t="s">
        <v>3383</v>
      </c>
      <c r="B883" s="199" t="s">
        <v>3240</v>
      </c>
      <c r="C883" s="199" t="s">
        <v>3289</v>
      </c>
      <c r="D883" s="199" t="s">
        <v>3290</v>
      </c>
      <c r="E883" s="199" t="s">
        <v>3384</v>
      </c>
      <c r="F883" s="200"/>
      <c r="G883" s="201" t="s">
        <v>3385</v>
      </c>
      <c r="H883" s="198"/>
      <c r="I883" s="199"/>
      <c r="J883" s="229"/>
      <c r="K883" s="390"/>
      <c r="L883" s="391"/>
      <c r="M883" s="392"/>
      <c r="N883" s="393"/>
      <c r="O883" s="392"/>
      <c r="P883" s="394"/>
      <c r="Q883" s="570"/>
      <c r="R883" s="571"/>
      <c r="S883" s="572"/>
      <c r="T883" s="573"/>
      <c r="U883" s="572"/>
      <c r="V883" s="574"/>
      <c r="W883" s="756"/>
      <c r="X883" s="757"/>
      <c r="Y883" s="758"/>
      <c r="Z883" s="759"/>
      <c r="AA883" s="758"/>
      <c r="AB883" s="760"/>
      <c r="AC883" s="902"/>
      <c r="AD883" s="903"/>
      <c r="AE883" s="904"/>
      <c r="AF883" s="905"/>
      <c r="AG883" s="904"/>
      <c r="AH883" s="992"/>
      <c r="AI883" s="951" t="s">
        <v>3378</v>
      </c>
    </row>
    <row r="884" spans="1:35" ht="26.25" x14ac:dyDescent="0.25">
      <c r="A884" s="198" t="s">
        <v>3386</v>
      </c>
      <c r="B884" s="199" t="s">
        <v>3240</v>
      </c>
      <c r="C884" s="199" t="s">
        <v>3289</v>
      </c>
      <c r="D884" s="199" t="s">
        <v>3290</v>
      </c>
      <c r="E884" s="199" t="s">
        <v>3387</v>
      </c>
      <c r="F884" s="200"/>
      <c r="G884" s="201" t="s">
        <v>3388</v>
      </c>
      <c r="H884" s="198"/>
      <c r="I884" s="199"/>
      <c r="J884" s="229"/>
      <c r="K884" s="390"/>
      <c r="L884" s="391"/>
      <c r="M884" s="392"/>
      <c r="N884" s="393"/>
      <c r="O884" s="392"/>
      <c r="P884" s="394"/>
      <c r="Q884" s="570"/>
      <c r="R884" s="571"/>
      <c r="S884" s="572"/>
      <c r="T884" s="573"/>
      <c r="U884" s="572"/>
      <c r="V884" s="574"/>
      <c r="W884" s="756"/>
      <c r="X884" s="757"/>
      <c r="Y884" s="758"/>
      <c r="Z884" s="759"/>
      <c r="AA884" s="758"/>
      <c r="AB884" s="760"/>
      <c r="AC884" s="902"/>
      <c r="AD884" s="903"/>
      <c r="AE884" s="904"/>
      <c r="AF884" s="905"/>
      <c r="AG884" s="904"/>
      <c r="AH884" s="992"/>
      <c r="AI884" s="951"/>
    </row>
    <row r="885" spans="1:35" ht="26.25" x14ac:dyDescent="0.25">
      <c r="A885" s="198" t="s">
        <v>3389</v>
      </c>
      <c r="B885" s="199" t="s">
        <v>3240</v>
      </c>
      <c r="C885" s="199" t="s">
        <v>3289</v>
      </c>
      <c r="D885" s="199" t="s">
        <v>3290</v>
      </c>
      <c r="E885" s="199" t="s">
        <v>1006</v>
      </c>
      <c r="F885" s="200"/>
      <c r="G885" s="201" t="s">
        <v>3390</v>
      </c>
      <c r="H885" s="198"/>
      <c r="I885" s="199"/>
      <c r="J885" s="229"/>
      <c r="K885" s="390"/>
      <c r="L885" s="391"/>
      <c r="M885" s="392"/>
      <c r="N885" s="393"/>
      <c r="O885" s="392"/>
      <c r="P885" s="394"/>
      <c r="Q885" s="570"/>
      <c r="R885" s="571"/>
      <c r="S885" s="572"/>
      <c r="T885" s="573"/>
      <c r="U885" s="572"/>
      <c r="V885" s="574"/>
      <c r="W885" s="756"/>
      <c r="X885" s="757"/>
      <c r="Y885" s="758"/>
      <c r="Z885" s="759"/>
      <c r="AA885" s="758"/>
      <c r="AB885" s="760"/>
      <c r="AC885" s="902"/>
      <c r="AD885" s="903"/>
      <c r="AE885" s="904"/>
      <c r="AF885" s="905"/>
      <c r="AG885" s="904"/>
      <c r="AH885" s="992"/>
      <c r="AI885" s="951"/>
    </row>
    <row r="886" spans="1:35" x14ac:dyDescent="0.25">
      <c r="A886" s="198" t="s">
        <v>3391</v>
      </c>
      <c r="B886" s="199" t="s">
        <v>3240</v>
      </c>
      <c r="C886" s="199" t="s">
        <v>3289</v>
      </c>
      <c r="D886" s="199" t="s">
        <v>3290</v>
      </c>
      <c r="E886" s="199" t="s">
        <v>1934</v>
      </c>
      <c r="F886" s="200"/>
      <c r="G886" s="201" t="s">
        <v>3392</v>
      </c>
      <c r="H886" s="198"/>
      <c r="I886" s="199"/>
      <c r="J886" s="229"/>
      <c r="K886" s="390"/>
      <c r="L886" s="391"/>
      <c r="M886" s="392"/>
      <c r="N886" s="393"/>
      <c r="O886" s="392"/>
      <c r="P886" s="394"/>
      <c r="Q886" s="570"/>
      <c r="R886" s="571"/>
      <c r="S886" s="572"/>
      <c r="T886" s="573"/>
      <c r="U886" s="572"/>
      <c r="V886" s="574"/>
      <c r="W886" s="756"/>
      <c r="X886" s="757"/>
      <c r="Y886" s="758"/>
      <c r="Z886" s="759"/>
      <c r="AA886" s="758"/>
      <c r="AB886" s="760"/>
      <c r="AC886" s="902"/>
      <c r="AD886" s="903"/>
      <c r="AE886" s="904"/>
      <c r="AF886" s="905"/>
      <c r="AG886" s="904"/>
      <c r="AH886" s="992"/>
      <c r="AI886" s="951" t="s">
        <v>2013</v>
      </c>
    </row>
    <row r="887" spans="1:35" ht="26.25" x14ac:dyDescent="0.25">
      <c r="A887" s="198" t="s">
        <v>3393</v>
      </c>
      <c r="B887" s="199" t="s">
        <v>3240</v>
      </c>
      <c r="C887" s="199" t="s">
        <v>3289</v>
      </c>
      <c r="D887" s="199" t="s">
        <v>3290</v>
      </c>
      <c r="E887" s="199" t="s">
        <v>3394</v>
      </c>
      <c r="F887" s="200"/>
      <c r="G887" s="201" t="s">
        <v>3395</v>
      </c>
      <c r="H887" s="198"/>
      <c r="I887" s="199"/>
      <c r="J887" s="229"/>
      <c r="K887" s="390"/>
      <c r="L887" s="391"/>
      <c r="M887" s="392"/>
      <c r="N887" s="393"/>
      <c r="O887" s="392"/>
      <c r="P887" s="394"/>
      <c r="Q887" s="570"/>
      <c r="R887" s="571"/>
      <c r="S887" s="572"/>
      <c r="T887" s="573"/>
      <c r="U887" s="572"/>
      <c r="V887" s="574"/>
      <c r="W887" s="756"/>
      <c r="X887" s="757"/>
      <c r="Y887" s="758"/>
      <c r="Z887" s="759"/>
      <c r="AA887" s="758"/>
      <c r="AB887" s="760"/>
      <c r="AC887" s="902"/>
      <c r="AD887" s="903"/>
      <c r="AE887" s="904"/>
      <c r="AF887" s="905"/>
      <c r="AG887" s="904"/>
      <c r="AH887" s="992"/>
      <c r="AI887" s="951"/>
    </row>
    <row r="888" spans="1:35" ht="26.25" x14ac:dyDescent="0.25">
      <c r="A888" s="198" t="s">
        <v>3396</v>
      </c>
      <c r="B888" s="199" t="s">
        <v>3240</v>
      </c>
      <c r="C888" s="199" t="s">
        <v>3289</v>
      </c>
      <c r="D888" s="199" t="s">
        <v>3290</v>
      </c>
      <c r="E888" s="199" t="s">
        <v>3397</v>
      </c>
      <c r="F888" s="200"/>
      <c r="G888" s="201" t="s">
        <v>3398</v>
      </c>
      <c r="H888" s="198"/>
      <c r="I888" s="199"/>
      <c r="J888" s="229"/>
      <c r="K888" s="390"/>
      <c r="L888" s="391"/>
      <c r="M888" s="392"/>
      <c r="N888" s="393"/>
      <c r="O888" s="392"/>
      <c r="P888" s="394"/>
      <c r="Q888" s="570"/>
      <c r="R888" s="571"/>
      <c r="S888" s="572"/>
      <c r="T888" s="573"/>
      <c r="U888" s="572"/>
      <c r="V888" s="574"/>
      <c r="W888" s="756"/>
      <c r="X888" s="757"/>
      <c r="Y888" s="758"/>
      <c r="Z888" s="759"/>
      <c r="AA888" s="758"/>
      <c r="AB888" s="760"/>
      <c r="AC888" s="902"/>
      <c r="AD888" s="903"/>
      <c r="AE888" s="904"/>
      <c r="AF888" s="905"/>
      <c r="AG888" s="904"/>
      <c r="AH888" s="992"/>
      <c r="AI888" s="951"/>
    </row>
    <row r="889" spans="1:35" ht="39" x14ac:dyDescent="0.25">
      <c r="A889" s="198" t="s">
        <v>3399</v>
      </c>
      <c r="B889" s="199" t="s">
        <v>3240</v>
      </c>
      <c r="C889" s="199" t="s">
        <v>3289</v>
      </c>
      <c r="D889" s="199" t="s">
        <v>3290</v>
      </c>
      <c r="E889" s="199" t="s">
        <v>1585</v>
      </c>
      <c r="F889" s="200"/>
      <c r="G889" s="201" t="s">
        <v>3400</v>
      </c>
      <c r="H889" s="198"/>
      <c r="I889" s="199"/>
      <c r="J889" s="229"/>
      <c r="K889" s="390"/>
      <c r="L889" s="391"/>
      <c r="M889" s="392"/>
      <c r="N889" s="393"/>
      <c r="O889" s="392"/>
      <c r="P889" s="394"/>
      <c r="Q889" s="570"/>
      <c r="R889" s="571"/>
      <c r="S889" s="572"/>
      <c r="T889" s="573"/>
      <c r="U889" s="572"/>
      <c r="V889" s="574"/>
      <c r="W889" s="756"/>
      <c r="X889" s="757"/>
      <c r="Y889" s="758"/>
      <c r="Z889" s="759"/>
      <c r="AA889" s="758"/>
      <c r="AB889" s="760"/>
      <c r="AC889" s="902"/>
      <c r="AD889" s="903"/>
      <c r="AE889" s="904"/>
      <c r="AF889" s="905"/>
      <c r="AG889" s="904"/>
      <c r="AH889" s="992"/>
      <c r="AI889" s="951" t="s">
        <v>1572</v>
      </c>
    </row>
    <row r="890" spans="1:35" x14ac:dyDescent="0.25">
      <c r="A890" s="198" t="s">
        <v>3401</v>
      </c>
      <c r="B890" s="199" t="s">
        <v>3240</v>
      </c>
      <c r="C890" s="199" t="s">
        <v>3289</v>
      </c>
      <c r="D890" s="199" t="s">
        <v>3290</v>
      </c>
      <c r="E890" s="199" t="s">
        <v>3402</v>
      </c>
      <c r="F890" s="200"/>
      <c r="G890" s="201" t="s">
        <v>3403</v>
      </c>
      <c r="H890" s="198"/>
      <c r="I890" s="199"/>
      <c r="J890" s="229"/>
      <c r="K890" s="390"/>
      <c r="L890" s="391"/>
      <c r="M890" s="392"/>
      <c r="N890" s="393"/>
      <c r="O890" s="392"/>
      <c r="P890" s="394"/>
      <c r="Q890" s="570"/>
      <c r="R890" s="571"/>
      <c r="S890" s="572"/>
      <c r="T890" s="573"/>
      <c r="U890" s="572"/>
      <c r="V890" s="574"/>
      <c r="W890" s="756"/>
      <c r="X890" s="757"/>
      <c r="Y890" s="758"/>
      <c r="Z890" s="759"/>
      <c r="AA890" s="758"/>
      <c r="AB890" s="760"/>
      <c r="AC890" s="902"/>
      <c r="AD890" s="903"/>
      <c r="AE890" s="904"/>
      <c r="AF890" s="905"/>
      <c r="AG890" s="904"/>
      <c r="AH890" s="992"/>
      <c r="AI890" s="951"/>
    </row>
    <row r="891" spans="1:35" ht="26.25" x14ac:dyDescent="0.25">
      <c r="A891" s="198" t="s">
        <v>3404</v>
      </c>
      <c r="B891" s="199" t="s">
        <v>3240</v>
      </c>
      <c r="C891" s="199" t="s">
        <v>3289</v>
      </c>
      <c r="D891" s="199" t="s">
        <v>3290</v>
      </c>
      <c r="E891" s="199" t="s">
        <v>3405</v>
      </c>
      <c r="F891" s="200"/>
      <c r="G891" s="201" t="s">
        <v>3406</v>
      </c>
      <c r="H891" s="198"/>
      <c r="I891" s="199"/>
      <c r="J891" s="229"/>
      <c r="K891" s="390"/>
      <c r="L891" s="391"/>
      <c r="M891" s="392"/>
      <c r="N891" s="393"/>
      <c r="O891" s="392"/>
      <c r="P891" s="394"/>
      <c r="Q891" s="570"/>
      <c r="R891" s="571"/>
      <c r="S891" s="572"/>
      <c r="T891" s="573"/>
      <c r="U891" s="572"/>
      <c r="V891" s="574"/>
      <c r="W891" s="756"/>
      <c r="X891" s="757"/>
      <c r="Y891" s="758"/>
      <c r="Z891" s="759"/>
      <c r="AA891" s="758"/>
      <c r="AB891" s="760"/>
      <c r="AC891" s="902"/>
      <c r="AD891" s="903"/>
      <c r="AE891" s="904"/>
      <c r="AF891" s="905"/>
      <c r="AG891" s="904"/>
      <c r="AH891" s="992"/>
      <c r="AI891" s="951" t="s">
        <v>3407</v>
      </c>
    </row>
    <row r="892" spans="1:35" x14ac:dyDescent="0.25">
      <c r="A892" s="198" t="s">
        <v>3408</v>
      </c>
      <c r="B892" s="199" t="s">
        <v>3240</v>
      </c>
      <c r="C892" s="199" t="s">
        <v>3289</v>
      </c>
      <c r="D892" s="199" t="s">
        <v>3290</v>
      </c>
      <c r="E892" s="199" t="s">
        <v>3409</v>
      </c>
      <c r="F892" s="200"/>
      <c r="G892" s="201" t="s">
        <v>3410</v>
      </c>
      <c r="H892" s="198"/>
      <c r="I892" s="199"/>
      <c r="J892" s="229"/>
      <c r="K892" s="390"/>
      <c r="L892" s="391"/>
      <c r="M892" s="392"/>
      <c r="N892" s="393"/>
      <c r="O892" s="392"/>
      <c r="P892" s="394"/>
      <c r="Q892" s="570"/>
      <c r="R892" s="571"/>
      <c r="S892" s="572"/>
      <c r="T892" s="573"/>
      <c r="U892" s="572"/>
      <c r="V892" s="574"/>
      <c r="W892" s="756"/>
      <c r="X892" s="757"/>
      <c r="Y892" s="758"/>
      <c r="Z892" s="759"/>
      <c r="AA892" s="758"/>
      <c r="AB892" s="760"/>
      <c r="AC892" s="902"/>
      <c r="AD892" s="903"/>
      <c r="AE892" s="904"/>
      <c r="AF892" s="905"/>
      <c r="AG892" s="904"/>
      <c r="AH892" s="992"/>
      <c r="AI892" s="951"/>
    </row>
    <row r="893" spans="1:35" ht="26.25" x14ac:dyDescent="0.25">
      <c r="A893" s="198" t="s">
        <v>3411</v>
      </c>
      <c r="B893" s="199" t="s">
        <v>3240</v>
      </c>
      <c r="C893" s="199" t="s">
        <v>3289</v>
      </c>
      <c r="D893" s="199" t="s">
        <v>3290</v>
      </c>
      <c r="E893" s="199" t="s">
        <v>2532</v>
      </c>
      <c r="F893" s="200"/>
      <c r="G893" s="201" t="s">
        <v>3412</v>
      </c>
      <c r="H893" s="198"/>
      <c r="I893" s="199"/>
      <c r="J893" s="229"/>
      <c r="K893" s="390"/>
      <c r="L893" s="391"/>
      <c r="M893" s="392"/>
      <c r="N893" s="393"/>
      <c r="O893" s="392"/>
      <c r="P893" s="394"/>
      <c r="Q893" s="570"/>
      <c r="R893" s="571"/>
      <c r="S893" s="572"/>
      <c r="T893" s="573"/>
      <c r="U893" s="572"/>
      <c r="V893" s="574"/>
      <c r="W893" s="756"/>
      <c r="X893" s="757"/>
      <c r="Y893" s="758"/>
      <c r="Z893" s="759"/>
      <c r="AA893" s="758"/>
      <c r="AB893" s="760"/>
      <c r="AC893" s="902"/>
      <c r="AD893" s="903"/>
      <c r="AE893" s="904"/>
      <c r="AF893" s="905"/>
      <c r="AG893" s="904"/>
      <c r="AH893" s="992"/>
      <c r="AI893" s="951"/>
    </row>
    <row r="894" spans="1:35" ht="26.25" x14ac:dyDescent="0.25">
      <c r="A894" s="198" t="s">
        <v>3413</v>
      </c>
      <c r="B894" s="199" t="s">
        <v>3240</v>
      </c>
      <c r="C894" s="199" t="s">
        <v>3289</v>
      </c>
      <c r="D894" s="199" t="s">
        <v>3290</v>
      </c>
      <c r="E894" s="199" t="s">
        <v>3414</v>
      </c>
      <c r="F894" s="200"/>
      <c r="G894" s="201" t="s">
        <v>3415</v>
      </c>
      <c r="H894" s="198"/>
      <c r="I894" s="199"/>
      <c r="J894" s="229"/>
      <c r="K894" s="390"/>
      <c r="L894" s="391"/>
      <c r="M894" s="392"/>
      <c r="N894" s="393"/>
      <c r="O894" s="392"/>
      <c r="P894" s="394"/>
      <c r="Q894" s="570"/>
      <c r="R894" s="571"/>
      <c r="S894" s="572"/>
      <c r="T894" s="573"/>
      <c r="U894" s="572"/>
      <c r="V894" s="574"/>
      <c r="W894" s="756"/>
      <c r="X894" s="757"/>
      <c r="Y894" s="758"/>
      <c r="Z894" s="759"/>
      <c r="AA894" s="758"/>
      <c r="AB894" s="760"/>
      <c r="AC894" s="902"/>
      <c r="AD894" s="903"/>
      <c r="AE894" s="904"/>
      <c r="AF894" s="905"/>
      <c r="AG894" s="904"/>
      <c r="AH894" s="992"/>
      <c r="AI894" s="951"/>
    </row>
    <row r="895" spans="1:35" ht="26.25" x14ac:dyDescent="0.25">
      <c r="A895" s="198" t="s">
        <v>3416</v>
      </c>
      <c r="B895" s="199" t="s">
        <v>3240</v>
      </c>
      <c r="C895" s="199" t="s">
        <v>3289</v>
      </c>
      <c r="D895" s="199" t="s">
        <v>3290</v>
      </c>
      <c r="E895" s="199" t="s">
        <v>3417</v>
      </c>
      <c r="F895" s="200"/>
      <c r="G895" s="201" t="s">
        <v>3418</v>
      </c>
      <c r="H895" s="198"/>
      <c r="I895" s="199"/>
      <c r="J895" s="229"/>
      <c r="K895" s="390"/>
      <c r="L895" s="391"/>
      <c r="M895" s="392"/>
      <c r="N895" s="393"/>
      <c r="O895" s="392"/>
      <c r="P895" s="394"/>
      <c r="Q895" s="570"/>
      <c r="R895" s="571"/>
      <c r="S895" s="572"/>
      <c r="T895" s="573"/>
      <c r="U895" s="572"/>
      <c r="V895" s="574"/>
      <c r="W895" s="756"/>
      <c r="X895" s="757"/>
      <c r="Y895" s="758"/>
      <c r="Z895" s="759"/>
      <c r="AA895" s="758"/>
      <c r="AB895" s="760"/>
      <c r="AC895" s="902"/>
      <c r="AD895" s="903"/>
      <c r="AE895" s="904"/>
      <c r="AF895" s="905"/>
      <c r="AG895" s="904"/>
      <c r="AH895" s="992"/>
      <c r="AI895" s="951"/>
    </row>
    <row r="896" spans="1:35" ht="26.25" x14ac:dyDescent="0.25">
      <c r="A896" s="198" t="s">
        <v>3419</v>
      </c>
      <c r="B896" s="199" t="s">
        <v>3240</v>
      </c>
      <c r="C896" s="199" t="s">
        <v>3289</v>
      </c>
      <c r="D896" s="199" t="s">
        <v>3290</v>
      </c>
      <c r="E896" s="199" t="s">
        <v>3420</v>
      </c>
      <c r="F896" s="200"/>
      <c r="G896" s="201" t="s">
        <v>3421</v>
      </c>
      <c r="H896" s="198"/>
      <c r="I896" s="199"/>
      <c r="J896" s="229"/>
      <c r="K896" s="390"/>
      <c r="L896" s="391"/>
      <c r="M896" s="392"/>
      <c r="N896" s="393"/>
      <c r="O896" s="392"/>
      <c r="P896" s="394"/>
      <c r="Q896" s="570"/>
      <c r="R896" s="571"/>
      <c r="S896" s="572"/>
      <c r="T896" s="573"/>
      <c r="U896" s="572"/>
      <c r="V896" s="574"/>
      <c r="W896" s="756"/>
      <c r="X896" s="757"/>
      <c r="Y896" s="758"/>
      <c r="Z896" s="759"/>
      <c r="AA896" s="758"/>
      <c r="AB896" s="760"/>
      <c r="AC896" s="902"/>
      <c r="AD896" s="903"/>
      <c r="AE896" s="904"/>
      <c r="AF896" s="905"/>
      <c r="AG896" s="904"/>
      <c r="AH896" s="992"/>
      <c r="AI896" s="951"/>
    </row>
    <row r="897" spans="1:35" x14ac:dyDescent="0.25">
      <c r="A897" s="198" t="s">
        <v>3422</v>
      </c>
      <c r="B897" s="199" t="s">
        <v>3240</v>
      </c>
      <c r="C897" s="199" t="s">
        <v>3289</v>
      </c>
      <c r="D897" s="199" t="s">
        <v>3290</v>
      </c>
      <c r="E897" s="199" t="s">
        <v>1125</v>
      </c>
      <c r="F897" s="200"/>
      <c r="G897" s="201" t="s">
        <v>3423</v>
      </c>
      <c r="H897" s="198"/>
      <c r="I897" s="199"/>
      <c r="J897" s="229"/>
      <c r="K897" s="390"/>
      <c r="L897" s="391"/>
      <c r="M897" s="392"/>
      <c r="N897" s="393"/>
      <c r="O897" s="392"/>
      <c r="P897" s="394"/>
      <c r="Q897" s="570"/>
      <c r="R897" s="571"/>
      <c r="S897" s="572"/>
      <c r="T897" s="573"/>
      <c r="U897" s="572"/>
      <c r="V897" s="574"/>
      <c r="W897" s="756"/>
      <c r="X897" s="757"/>
      <c r="Y897" s="758"/>
      <c r="Z897" s="759"/>
      <c r="AA897" s="758"/>
      <c r="AB897" s="760"/>
      <c r="AC897" s="902"/>
      <c r="AD897" s="903"/>
      <c r="AE897" s="904"/>
      <c r="AF897" s="905"/>
      <c r="AG897" s="904"/>
      <c r="AH897" s="992"/>
      <c r="AI897" s="951"/>
    </row>
    <row r="898" spans="1:35" ht="26.25" x14ac:dyDescent="0.25">
      <c r="A898" s="198" t="s">
        <v>3424</v>
      </c>
      <c r="B898" s="199" t="s">
        <v>3240</v>
      </c>
      <c r="C898" s="199" t="s">
        <v>3289</v>
      </c>
      <c r="D898" s="199" t="s">
        <v>3290</v>
      </c>
      <c r="E898" s="199" t="s">
        <v>3425</v>
      </c>
      <c r="F898" s="200"/>
      <c r="G898" s="201" t="s">
        <v>3426</v>
      </c>
      <c r="H898" s="198"/>
      <c r="I898" s="199"/>
      <c r="J898" s="229"/>
      <c r="K898" s="390"/>
      <c r="L898" s="391"/>
      <c r="M898" s="392"/>
      <c r="N898" s="393"/>
      <c r="O898" s="392"/>
      <c r="P898" s="394"/>
      <c r="Q898" s="570"/>
      <c r="R898" s="571"/>
      <c r="S898" s="572"/>
      <c r="T898" s="573"/>
      <c r="U898" s="572"/>
      <c r="V898" s="574"/>
      <c r="W898" s="756"/>
      <c r="X898" s="757"/>
      <c r="Y898" s="758"/>
      <c r="Z898" s="759"/>
      <c r="AA898" s="758"/>
      <c r="AB898" s="760"/>
      <c r="AC898" s="902"/>
      <c r="AD898" s="903"/>
      <c r="AE898" s="904"/>
      <c r="AF898" s="905"/>
      <c r="AG898" s="904"/>
      <c r="AH898" s="992"/>
      <c r="AI898" s="951"/>
    </row>
    <row r="899" spans="1:35" ht="26.25" x14ac:dyDescent="0.25">
      <c r="A899" s="198" t="s">
        <v>3427</v>
      </c>
      <c r="B899" s="199" t="s">
        <v>3240</v>
      </c>
      <c r="C899" s="199" t="s">
        <v>3289</v>
      </c>
      <c r="D899" s="199" t="s">
        <v>3290</v>
      </c>
      <c r="E899" s="199" t="s">
        <v>3428</v>
      </c>
      <c r="F899" s="200"/>
      <c r="G899" s="201" t="s">
        <v>3429</v>
      </c>
      <c r="H899" s="198"/>
      <c r="I899" s="199"/>
      <c r="J899" s="229"/>
      <c r="K899" s="390"/>
      <c r="L899" s="391"/>
      <c r="M899" s="392"/>
      <c r="N899" s="393"/>
      <c r="O899" s="392"/>
      <c r="P899" s="394"/>
      <c r="Q899" s="570"/>
      <c r="R899" s="571"/>
      <c r="S899" s="572"/>
      <c r="T899" s="573"/>
      <c r="U899" s="572"/>
      <c r="V899" s="574"/>
      <c r="W899" s="756"/>
      <c r="X899" s="757"/>
      <c r="Y899" s="758"/>
      <c r="Z899" s="759"/>
      <c r="AA899" s="758"/>
      <c r="AB899" s="760"/>
      <c r="AC899" s="902"/>
      <c r="AD899" s="903"/>
      <c r="AE899" s="904"/>
      <c r="AF899" s="905"/>
      <c r="AG899" s="904"/>
      <c r="AH899" s="992"/>
      <c r="AI899" s="951"/>
    </row>
    <row r="900" spans="1:35" ht="26.25" x14ac:dyDescent="0.25">
      <c r="A900" s="198" t="s">
        <v>3430</v>
      </c>
      <c r="B900" s="199" t="s">
        <v>3240</v>
      </c>
      <c r="C900" s="199" t="s">
        <v>3289</v>
      </c>
      <c r="D900" s="199" t="s">
        <v>3290</v>
      </c>
      <c r="E900" s="199" t="s">
        <v>3431</v>
      </c>
      <c r="F900" s="200"/>
      <c r="G900" s="201" t="s">
        <v>3432</v>
      </c>
      <c r="H900" s="198"/>
      <c r="I900" s="199"/>
      <c r="J900" s="229"/>
      <c r="K900" s="390"/>
      <c r="L900" s="391"/>
      <c r="M900" s="392"/>
      <c r="N900" s="393"/>
      <c r="O900" s="392"/>
      <c r="P900" s="394"/>
      <c r="Q900" s="570"/>
      <c r="R900" s="571"/>
      <c r="S900" s="572"/>
      <c r="T900" s="573"/>
      <c r="U900" s="572"/>
      <c r="V900" s="574"/>
      <c r="W900" s="756"/>
      <c r="X900" s="757"/>
      <c r="Y900" s="758"/>
      <c r="Z900" s="759"/>
      <c r="AA900" s="758"/>
      <c r="AB900" s="760"/>
      <c r="AC900" s="902"/>
      <c r="AD900" s="903"/>
      <c r="AE900" s="904"/>
      <c r="AF900" s="905"/>
      <c r="AG900" s="904"/>
      <c r="AH900" s="992"/>
      <c r="AI900" s="951"/>
    </row>
    <row r="901" spans="1:35" ht="26.25" x14ac:dyDescent="0.25">
      <c r="A901" s="198" t="s">
        <v>3433</v>
      </c>
      <c r="B901" s="199" t="s">
        <v>3240</v>
      </c>
      <c r="C901" s="199" t="s">
        <v>3289</v>
      </c>
      <c r="D901" s="199" t="s">
        <v>3290</v>
      </c>
      <c r="E901" s="199" t="s">
        <v>3434</v>
      </c>
      <c r="F901" s="200"/>
      <c r="G901" s="201" t="s">
        <v>3435</v>
      </c>
      <c r="H901" s="198"/>
      <c r="I901" s="199"/>
      <c r="J901" s="229"/>
      <c r="K901" s="390"/>
      <c r="L901" s="391"/>
      <c r="M901" s="392"/>
      <c r="N901" s="393"/>
      <c r="O901" s="392"/>
      <c r="P901" s="394"/>
      <c r="Q901" s="570"/>
      <c r="R901" s="571"/>
      <c r="S901" s="572"/>
      <c r="T901" s="573"/>
      <c r="U901" s="572"/>
      <c r="V901" s="574"/>
      <c r="W901" s="756"/>
      <c r="X901" s="757"/>
      <c r="Y901" s="758"/>
      <c r="Z901" s="759"/>
      <c r="AA901" s="758"/>
      <c r="AB901" s="760"/>
      <c r="AC901" s="902"/>
      <c r="AD901" s="903"/>
      <c r="AE901" s="904"/>
      <c r="AF901" s="905"/>
      <c r="AG901" s="904"/>
      <c r="AH901" s="992"/>
      <c r="AI901" s="951"/>
    </row>
    <row r="902" spans="1:35" ht="26.25" x14ac:dyDescent="0.25">
      <c r="A902" s="198" t="s">
        <v>3436</v>
      </c>
      <c r="B902" s="199" t="s">
        <v>3240</v>
      </c>
      <c r="C902" s="199" t="s">
        <v>3289</v>
      </c>
      <c r="D902" s="199" t="s">
        <v>3290</v>
      </c>
      <c r="E902" s="199" t="s">
        <v>1433</v>
      </c>
      <c r="F902" s="200"/>
      <c r="G902" s="201" t="s">
        <v>3437</v>
      </c>
      <c r="H902" s="198"/>
      <c r="I902" s="199"/>
      <c r="J902" s="229"/>
      <c r="K902" s="390"/>
      <c r="L902" s="391"/>
      <c r="M902" s="392"/>
      <c r="N902" s="393"/>
      <c r="O902" s="392"/>
      <c r="P902" s="394"/>
      <c r="Q902" s="570"/>
      <c r="R902" s="571"/>
      <c r="S902" s="572"/>
      <c r="T902" s="573"/>
      <c r="U902" s="572"/>
      <c r="V902" s="574"/>
      <c r="W902" s="756"/>
      <c r="X902" s="757"/>
      <c r="Y902" s="758"/>
      <c r="Z902" s="759"/>
      <c r="AA902" s="758"/>
      <c r="AB902" s="760"/>
      <c r="AC902" s="902"/>
      <c r="AD902" s="903"/>
      <c r="AE902" s="904"/>
      <c r="AF902" s="905"/>
      <c r="AG902" s="904"/>
      <c r="AH902" s="992"/>
      <c r="AI902" s="951"/>
    </row>
    <row r="903" spans="1:35" ht="26.25" x14ac:dyDescent="0.25">
      <c r="A903" s="198" t="s">
        <v>3438</v>
      </c>
      <c r="B903" s="199" t="s">
        <v>3240</v>
      </c>
      <c r="C903" s="199" t="s">
        <v>3289</v>
      </c>
      <c r="D903" s="199" t="s">
        <v>3290</v>
      </c>
      <c r="E903" s="199" t="s">
        <v>3439</v>
      </c>
      <c r="F903" s="200"/>
      <c r="G903" s="201" t="s">
        <v>3440</v>
      </c>
      <c r="H903" s="198"/>
      <c r="I903" s="199"/>
      <c r="J903" s="229"/>
      <c r="K903" s="390"/>
      <c r="L903" s="391"/>
      <c r="M903" s="392"/>
      <c r="N903" s="393"/>
      <c r="O903" s="392"/>
      <c r="P903" s="394"/>
      <c r="Q903" s="570"/>
      <c r="R903" s="571"/>
      <c r="S903" s="572"/>
      <c r="T903" s="573"/>
      <c r="U903" s="572"/>
      <c r="V903" s="574"/>
      <c r="W903" s="756"/>
      <c r="X903" s="757"/>
      <c r="Y903" s="758"/>
      <c r="Z903" s="759"/>
      <c r="AA903" s="758"/>
      <c r="AB903" s="760"/>
      <c r="AC903" s="902"/>
      <c r="AD903" s="903"/>
      <c r="AE903" s="904"/>
      <c r="AF903" s="905"/>
      <c r="AG903" s="904"/>
      <c r="AH903" s="992"/>
      <c r="AI903" s="951"/>
    </row>
    <row r="904" spans="1:35" ht="64.5" x14ac:dyDescent="0.25">
      <c r="A904" s="198" t="s">
        <v>3441</v>
      </c>
      <c r="B904" s="199" t="s">
        <v>3240</v>
      </c>
      <c r="C904" s="199" t="s">
        <v>3289</v>
      </c>
      <c r="D904" s="199" t="s">
        <v>3290</v>
      </c>
      <c r="E904" s="199" t="s">
        <v>3442</v>
      </c>
      <c r="F904" s="200"/>
      <c r="G904" s="201" t="s">
        <v>3443</v>
      </c>
      <c r="H904" s="198"/>
      <c r="I904" s="199"/>
      <c r="J904" s="229"/>
      <c r="K904" s="390"/>
      <c r="L904" s="391"/>
      <c r="M904" s="392"/>
      <c r="N904" s="393"/>
      <c r="O904" s="392"/>
      <c r="P904" s="394"/>
      <c r="Q904" s="570"/>
      <c r="R904" s="571"/>
      <c r="S904" s="572"/>
      <c r="T904" s="573"/>
      <c r="U904" s="572"/>
      <c r="V904" s="574"/>
      <c r="W904" s="756"/>
      <c r="X904" s="757"/>
      <c r="Y904" s="758"/>
      <c r="Z904" s="759"/>
      <c r="AA904" s="758"/>
      <c r="AB904" s="760"/>
      <c r="AC904" s="902"/>
      <c r="AD904" s="903"/>
      <c r="AE904" s="904"/>
      <c r="AF904" s="905"/>
      <c r="AG904" s="904"/>
      <c r="AH904" s="992"/>
      <c r="AI904" s="951"/>
    </row>
    <row r="905" spans="1:35" ht="39" x14ac:dyDescent="0.25">
      <c r="A905" s="198" t="s">
        <v>3444</v>
      </c>
      <c r="B905" s="199" t="s">
        <v>3240</v>
      </c>
      <c r="C905" s="199" t="s">
        <v>3289</v>
      </c>
      <c r="D905" s="199" t="s">
        <v>3290</v>
      </c>
      <c r="E905" s="199" t="s">
        <v>3445</v>
      </c>
      <c r="F905" s="200"/>
      <c r="G905" s="201" t="s">
        <v>3446</v>
      </c>
      <c r="H905" s="198"/>
      <c r="I905" s="199"/>
      <c r="J905" s="229"/>
      <c r="K905" s="390"/>
      <c r="L905" s="391"/>
      <c r="M905" s="392"/>
      <c r="N905" s="393"/>
      <c r="O905" s="392"/>
      <c r="P905" s="394"/>
      <c r="Q905" s="570"/>
      <c r="R905" s="571"/>
      <c r="S905" s="572"/>
      <c r="T905" s="573"/>
      <c r="U905" s="572"/>
      <c r="V905" s="574"/>
      <c r="W905" s="756"/>
      <c r="X905" s="757"/>
      <c r="Y905" s="758"/>
      <c r="Z905" s="759"/>
      <c r="AA905" s="758"/>
      <c r="AB905" s="760"/>
      <c r="AC905" s="902"/>
      <c r="AD905" s="903"/>
      <c r="AE905" s="904"/>
      <c r="AF905" s="905"/>
      <c r="AG905" s="904"/>
      <c r="AH905" s="992"/>
      <c r="AI905" s="951"/>
    </row>
    <row r="906" spans="1:35" x14ac:dyDescent="0.25">
      <c r="A906" s="198" t="s">
        <v>3447</v>
      </c>
      <c r="B906" s="199" t="s">
        <v>3240</v>
      </c>
      <c r="C906" s="199" t="s">
        <v>3289</v>
      </c>
      <c r="D906" s="199" t="s">
        <v>3290</v>
      </c>
      <c r="E906" s="199" t="s">
        <v>3448</v>
      </c>
      <c r="F906" s="200"/>
      <c r="G906" s="201" t="s">
        <v>3449</v>
      </c>
      <c r="H906" s="198"/>
      <c r="I906" s="199"/>
      <c r="J906" s="229"/>
      <c r="K906" s="390"/>
      <c r="L906" s="391"/>
      <c r="M906" s="392"/>
      <c r="N906" s="393"/>
      <c r="O906" s="392"/>
      <c r="P906" s="394"/>
      <c r="Q906" s="570"/>
      <c r="R906" s="571"/>
      <c r="S906" s="572"/>
      <c r="T906" s="573"/>
      <c r="U906" s="572"/>
      <c r="V906" s="574"/>
      <c r="W906" s="756"/>
      <c r="X906" s="757"/>
      <c r="Y906" s="758"/>
      <c r="Z906" s="759"/>
      <c r="AA906" s="758"/>
      <c r="AB906" s="760"/>
      <c r="AC906" s="902"/>
      <c r="AD906" s="903"/>
      <c r="AE906" s="904"/>
      <c r="AF906" s="905"/>
      <c r="AG906" s="904"/>
      <c r="AH906" s="992"/>
      <c r="AI906" s="951"/>
    </row>
    <row r="907" spans="1:35" ht="26.25" x14ac:dyDescent="0.25">
      <c r="A907" s="198" t="s">
        <v>3450</v>
      </c>
      <c r="B907" s="199" t="s">
        <v>3240</v>
      </c>
      <c r="C907" s="199" t="s">
        <v>3289</v>
      </c>
      <c r="D907" s="199" t="s">
        <v>3290</v>
      </c>
      <c r="E907" s="199" t="s">
        <v>3451</v>
      </c>
      <c r="F907" s="200"/>
      <c r="G907" s="201" t="s">
        <v>3452</v>
      </c>
      <c r="H907" s="198"/>
      <c r="I907" s="199"/>
      <c r="J907" s="229"/>
      <c r="K907" s="390"/>
      <c r="L907" s="391"/>
      <c r="M907" s="392"/>
      <c r="N907" s="393"/>
      <c r="O907" s="392"/>
      <c r="P907" s="394"/>
      <c r="Q907" s="570"/>
      <c r="R907" s="571"/>
      <c r="S907" s="572"/>
      <c r="T907" s="573"/>
      <c r="U907" s="572"/>
      <c r="V907" s="574"/>
      <c r="W907" s="756"/>
      <c r="X907" s="757"/>
      <c r="Y907" s="758"/>
      <c r="Z907" s="759"/>
      <c r="AA907" s="758"/>
      <c r="AB907" s="760"/>
      <c r="AC907" s="902"/>
      <c r="AD907" s="903"/>
      <c r="AE907" s="904"/>
      <c r="AF907" s="905"/>
      <c r="AG907" s="904"/>
      <c r="AH907" s="992"/>
      <c r="AI907" s="951"/>
    </row>
    <row r="908" spans="1:35" ht="26.25" x14ac:dyDescent="0.25">
      <c r="A908" s="198" t="s">
        <v>3453</v>
      </c>
      <c r="B908" s="199" t="s">
        <v>3240</v>
      </c>
      <c r="C908" s="199" t="s">
        <v>3289</v>
      </c>
      <c r="D908" s="199" t="s">
        <v>3290</v>
      </c>
      <c r="E908" s="199" t="s">
        <v>3454</v>
      </c>
      <c r="F908" s="200"/>
      <c r="G908" s="201" t="s">
        <v>3455</v>
      </c>
      <c r="H908" s="198"/>
      <c r="I908" s="199"/>
      <c r="J908" s="229"/>
      <c r="K908" s="390"/>
      <c r="L908" s="391"/>
      <c r="M908" s="392"/>
      <c r="N908" s="393"/>
      <c r="O908" s="392"/>
      <c r="P908" s="394"/>
      <c r="Q908" s="570"/>
      <c r="R908" s="571"/>
      <c r="S908" s="572"/>
      <c r="T908" s="573"/>
      <c r="U908" s="572"/>
      <c r="V908" s="574"/>
      <c r="W908" s="756"/>
      <c r="X908" s="757"/>
      <c r="Y908" s="758"/>
      <c r="Z908" s="759"/>
      <c r="AA908" s="758"/>
      <c r="AB908" s="760"/>
      <c r="AC908" s="902"/>
      <c r="AD908" s="903"/>
      <c r="AE908" s="904"/>
      <c r="AF908" s="905"/>
      <c r="AG908" s="904"/>
      <c r="AH908" s="992"/>
      <c r="AI908" s="951"/>
    </row>
    <row r="909" spans="1:35" ht="26.25" x14ac:dyDescent="0.25">
      <c r="A909" s="198" t="s">
        <v>3456</v>
      </c>
      <c r="B909" s="199" t="s">
        <v>3240</v>
      </c>
      <c r="C909" s="199" t="s">
        <v>3289</v>
      </c>
      <c r="D909" s="199" t="s">
        <v>3290</v>
      </c>
      <c r="E909" s="199" t="s">
        <v>3457</v>
      </c>
      <c r="F909" s="200"/>
      <c r="G909" s="201" t="s">
        <v>3458</v>
      </c>
      <c r="H909" s="198"/>
      <c r="I909" s="199"/>
      <c r="J909" s="229"/>
      <c r="K909" s="390"/>
      <c r="L909" s="391"/>
      <c r="M909" s="392"/>
      <c r="N909" s="393"/>
      <c r="O909" s="392"/>
      <c r="P909" s="394"/>
      <c r="Q909" s="570"/>
      <c r="R909" s="571"/>
      <c r="S909" s="572"/>
      <c r="T909" s="573"/>
      <c r="U909" s="572"/>
      <c r="V909" s="574"/>
      <c r="W909" s="756"/>
      <c r="X909" s="757"/>
      <c r="Y909" s="758"/>
      <c r="Z909" s="759"/>
      <c r="AA909" s="758"/>
      <c r="AB909" s="760"/>
      <c r="AC909" s="902"/>
      <c r="AD909" s="903"/>
      <c r="AE909" s="904"/>
      <c r="AF909" s="905"/>
      <c r="AG909" s="904"/>
      <c r="AH909" s="992"/>
      <c r="AI909" s="951"/>
    </row>
    <row r="910" spans="1:35" ht="26.25" x14ac:dyDescent="0.25">
      <c r="A910" s="198" t="s">
        <v>3459</v>
      </c>
      <c r="B910" s="199" t="s">
        <v>3240</v>
      </c>
      <c r="C910" s="199" t="s">
        <v>3289</v>
      </c>
      <c r="D910" s="199" t="s">
        <v>3290</v>
      </c>
      <c r="E910" s="199" t="s">
        <v>3460</v>
      </c>
      <c r="F910" s="200"/>
      <c r="G910" s="201" t="s">
        <v>3461</v>
      </c>
      <c r="H910" s="198"/>
      <c r="I910" s="199"/>
      <c r="J910" s="229"/>
      <c r="K910" s="390"/>
      <c r="L910" s="391"/>
      <c r="M910" s="392"/>
      <c r="N910" s="393"/>
      <c r="O910" s="392"/>
      <c r="P910" s="394"/>
      <c r="Q910" s="570"/>
      <c r="R910" s="571"/>
      <c r="S910" s="572"/>
      <c r="T910" s="573"/>
      <c r="U910" s="572"/>
      <c r="V910" s="574"/>
      <c r="W910" s="756"/>
      <c r="X910" s="757"/>
      <c r="Y910" s="758"/>
      <c r="Z910" s="759"/>
      <c r="AA910" s="758"/>
      <c r="AB910" s="760"/>
      <c r="AC910" s="902"/>
      <c r="AD910" s="903"/>
      <c r="AE910" s="904"/>
      <c r="AF910" s="905"/>
      <c r="AG910" s="904"/>
      <c r="AH910" s="992"/>
      <c r="AI910" s="951"/>
    </row>
    <row r="911" spans="1:35" x14ac:dyDescent="0.25">
      <c r="A911" s="198" t="s">
        <v>3462</v>
      </c>
      <c r="B911" s="199" t="s">
        <v>3240</v>
      </c>
      <c r="C911" s="199" t="s">
        <v>3289</v>
      </c>
      <c r="D911" s="199" t="s">
        <v>3290</v>
      </c>
      <c r="E911" s="199" t="s">
        <v>3463</v>
      </c>
      <c r="F911" s="200"/>
      <c r="G911" s="201" t="s">
        <v>3464</v>
      </c>
      <c r="H911" s="198"/>
      <c r="I911" s="199"/>
      <c r="J911" s="229"/>
      <c r="K911" s="390"/>
      <c r="L911" s="391"/>
      <c r="M911" s="392"/>
      <c r="N911" s="393"/>
      <c r="O911" s="392"/>
      <c r="P911" s="394"/>
      <c r="Q911" s="570"/>
      <c r="R911" s="571"/>
      <c r="S911" s="572"/>
      <c r="T911" s="573"/>
      <c r="U911" s="572"/>
      <c r="V911" s="574"/>
      <c r="W911" s="756"/>
      <c r="X911" s="757"/>
      <c r="Y911" s="758"/>
      <c r="Z911" s="759"/>
      <c r="AA911" s="758"/>
      <c r="AB911" s="760"/>
      <c r="AC911" s="902"/>
      <c r="AD911" s="903"/>
      <c r="AE911" s="904"/>
      <c r="AF911" s="905"/>
      <c r="AG911" s="904"/>
      <c r="AH911" s="992"/>
      <c r="AI911" s="951"/>
    </row>
    <row r="912" spans="1:35" x14ac:dyDescent="0.25">
      <c r="A912" s="198" t="s">
        <v>3465</v>
      </c>
      <c r="B912" s="199" t="s">
        <v>3240</v>
      </c>
      <c r="C912" s="199" t="s">
        <v>3289</v>
      </c>
      <c r="D912" s="199" t="s">
        <v>3290</v>
      </c>
      <c r="E912" s="199"/>
      <c r="F912" s="200"/>
      <c r="G912" s="201" t="s">
        <v>3290</v>
      </c>
      <c r="H912" s="198"/>
      <c r="I912" s="199"/>
      <c r="J912" s="229"/>
      <c r="K912" s="390"/>
      <c r="L912" s="391"/>
      <c r="M912" s="392"/>
      <c r="N912" s="393"/>
      <c r="O912" s="392"/>
      <c r="P912" s="394"/>
      <c r="Q912" s="570"/>
      <c r="R912" s="571"/>
      <c r="S912" s="572"/>
      <c r="T912" s="573"/>
      <c r="U912" s="572"/>
      <c r="V912" s="574"/>
      <c r="W912" s="756"/>
      <c r="X912" s="757"/>
      <c r="Y912" s="758"/>
      <c r="Z912" s="759"/>
      <c r="AA912" s="758"/>
      <c r="AB912" s="760"/>
      <c r="AC912" s="902"/>
      <c r="AD912" s="903"/>
      <c r="AE912" s="904"/>
      <c r="AF912" s="905"/>
      <c r="AG912" s="904"/>
      <c r="AH912" s="992"/>
      <c r="AI912" s="951"/>
    </row>
    <row r="913" spans="1:35" x14ac:dyDescent="0.25">
      <c r="A913" s="198" t="s">
        <v>3466</v>
      </c>
      <c r="B913" s="199" t="s">
        <v>3240</v>
      </c>
      <c r="C913" s="199" t="s">
        <v>3467</v>
      </c>
      <c r="D913" s="199" t="s">
        <v>3468</v>
      </c>
      <c r="E913" s="199"/>
      <c r="F913" s="200"/>
      <c r="G913" s="201" t="s">
        <v>3469</v>
      </c>
      <c r="H913" s="198"/>
      <c r="I913" s="199"/>
      <c r="J913" s="229"/>
      <c r="K913" s="390"/>
      <c r="L913" s="391"/>
      <c r="M913" s="392"/>
      <c r="N913" s="393"/>
      <c r="O913" s="392"/>
      <c r="P913" s="394"/>
      <c r="Q913" s="570"/>
      <c r="R913" s="571"/>
      <c r="S913" s="572"/>
      <c r="T913" s="573"/>
      <c r="U913" s="572"/>
      <c r="V913" s="574"/>
      <c r="W913" s="756"/>
      <c r="X913" s="757"/>
      <c r="Y913" s="758"/>
      <c r="Z913" s="759"/>
      <c r="AA913" s="758"/>
      <c r="AB913" s="760"/>
      <c r="AC913" s="902"/>
      <c r="AD913" s="903"/>
      <c r="AE913" s="904"/>
      <c r="AF913" s="905"/>
      <c r="AG913" s="904"/>
      <c r="AH913" s="992"/>
      <c r="AI913" s="951" t="s">
        <v>3470</v>
      </c>
    </row>
    <row r="914" spans="1:35" ht="26.25" x14ac:dyDescent="0.25">
      <c r="A914" s="198" t="s">
        <v>3471</v>
      </c>
      <c r="B914" s="199" t="s">
        <v>3240</v>
      </c>
      <c r="C914" s="199" t="s">
        <v>3467</v>
      </c>
      <c r="D914" s="199" t="s">
        <v>3472</v>
      </c>
      <c r="E914" s="199"/>
      <c r="F914" s="200"/>
      <c r="G914" s="201" t="s">
        <v>3473</v>
      </c>
      <c r="H914" s="198"/>
      <c r="I914" s="199"/>
      <c r="J914" s="229"/>
      <c r="K914" s="390"/>
      <c r="L914" s="391"/>
      <c r="M914" s="392"/>
      <c r="N914" s="393"/>
      <c r="O914" s="392"/>
      <c r="P914" s="394"/>
      <c r="Q914" s="570"/>
      <c r="R914" s="571"/>
      <c r="S914" s="572"/>
      <c r="T914" s="573"/>
      <c r="U914" s="572"/>
      <c r="V914" s="574"/>
      <c r="W914" s="756"/>
      <c r="X914" s="757"/>
      <c r="Y914" s="758"/>
      <c r="Z914" s="759"/>
      <c r="AA914" s="758"/>
      <c r="AB914" s="760"/>
      <c r="AC914" s="902"/>
      <c r="AD914" s="903"/>
      <c r="AE914" s="904"/>
      <c r="AF914" s="905"/>
      <c r="AG914" s="904"/>
      <c r="AH914" s="992"/>
      <c r="AI914" s="951" t="s">
        <v>3474</v>
      </c>
    </row>
    <row r="915" spans="1:35" ht="26.25" x14ac:dyDescent="0.25">
      <c r="A915" s="198" t="s">
        <v>3475</v>
      </c>
      <c r="B915" s="199" t="s">
        <v>3240</v>
      </c>
      <c r="C915" s="199" t="s">
        <v>3467</v>
      </c>
      <c r="D915" s="199" t="s">
        <v>3476</v>
      </c>
      <c r="E915" s="199"/>
      <c r="F915" s="200"/>
      <c r="G915" s="201" t="s">
        <v>3477</v>
      </c>
      <c r="H915" s="198"/>
      <c r="I915" s="199"/>
      <c r="J915" s="229"/>
      <c r="K915" s="390"/>
      <c r="L915" s="391"/>
      <c r="M915" s="392"/>
      <c r="N915" s="393"/>
      <c r="O915" s="392"/>
      <c r="P915" s="394"/>
      <c r="Q915" s="570"/>
      <c r="R915" s="571"/>
      <c r="S915" s="572"/>
      <c r="T915" s="573"/>
      <c r="U915" s="572"/>
      <c r="V915" s="574"/>
      <c r="W915" s="756"/>
      <c r="X915" s="757"/>
      <c r="Y915" s="758"/>
      <c r="Z915" s="759"/>
      <c r="AA915" s="758"/>
      <c r="AB915" s="760"/>
      <c r="AC915" s="902"/>
      <c r="AD915" s="903"/>
      <c r="AE915" s="904"/>
      <c r="AF915" s="905"/>
      <c r="AG915" s="904"/>
      <c r="AH915" s="992"/>
      <c r="AI915" s="951" t="s">
        <v>3478</v>
      </c>
    </row>
    <row r="916" spans="1:35" ht="26.25" x14ac:dyDescent="0.25">
      <c r="A916" s="198" t="s">
        <v>3479</v>
      </c>
      <c r="B916" s="199" t="s">
        <v>3240</v>
      </c>
      <c r="C916" s="199" t="s">
        <v>3467</v>
      </c>
      <c r="D916" s="199" t="s">
        <v>3480</v>
      </c>
      <c r="E916" s="199"/>
      <c r="F916" s="200"/>
      <c r="G916" s="201" t="s">
        <v>3481</v>
      </c>
      <c r="H916" s="198"/>
      <c r="I916" s="199"/>
      <c r="J916" s="229"/>
      <c r="K916" s="390"/>
      <c r="L916" s="391"/>
      <c r="M916" s="392"/>
      <c r="N916" s="393"/>
      <c r="O916" s="392"/>
      <c r="P916" s="394"/>
      <c r="Q916" s="570"/>
      <c r="R916" s="571"/>
      <c r="S916" s="572"/>
      <c r="T916" s="573"/>
      <c r="U916" s="572"/>
      <c r="V916" s="574"/>
      <c r="W916" s="756"/>
      <c r="X916" s="757"/>
      <c r="Y916" s="758"/>
      <c r="Z916" s="759"/>
      <c r="AA916" s="758"/>
      <c r="AB916" s="760"/>
      <c r="AC916" s="902"/>
      <c r="AD916" s="903"/>
      <c r="AE916" s="904"/>
      <c r="AF916" s="905"/>
      <c r="AG916" s="904"/>
      <c r="AH916" s="992"/>
      <c r="AI916" s="951" t="s">
        <v>3482</v>
      </c>
    </row>
    <row r="917" spans="1:35" ht="39" x14ac:dyDescent="0.25">
      <c r="A917" s="198" t="s">
        <v>3483</v>
      </c>
      <c r="B917" s="199" t="s">
        <v>3240</v>
      </c>
      <c r="C917" s="199" t="s">
        <v>3467</v>
      </c>
      <c r="D917" s="199" t="s">
        <v>3484</v>
      </c>
      <c r="E917" s="199"/>
      <c r="F917" s="200"/>
      <c r="G917" s="201" t="s">
        <v>3485</v>
      </c>
      <c r="H917" s="198"/>
      <c r="I917" s="199"/>
      <c r="J917" s="229"/>
      <c r="K917" s="390"/>
      <c r="L917" s="391"/>
      <c r="M917" s="392"/>
      <c r="N917" s="393"/>
      <c r="O917" s="392"/>
      <c r="P917" s="394"/>
      <c r="Q917" s="570"/>
      <c r="R917" s="571"/>
      <c r="S917" s="572"/>
      <c r="T917" s="573"/>
      <c r="U917" s="572"/>
      <c r="V917" s="574"/>
      <c r="W917" s="756"/>
      <c r="X917" s="757"/>
      <c r="Y917" s="758"/>
      <c r="Z917" s="759"/>
      <c r="AA917" s="758"/>
      <c r="AB917" s="760"/>
      <c r="AC917" s="902"/>
      <c r="AD917" s="903"/>
      <c r="AE917" s="904"/>
      <c r="AF917" s="905"/>
      <c r="AG917" s="904"/>
      <c r="AH917" s="992"/>
      <c r="AI917" s="951" t="s">
        <v>3486</v>
      </c>
    </row>
    <row r="918" spans="1:35" ht="26.25" x14ac:dyDescent="0.25">
      <c r="A918" s="198" t="s">
        <v>3487</v>
      </c>
      <c r="B918" s="199" t="s">
        <v>3240</v>
      </c>
      <c r="C918" s="199" t="s">
        <v>3488</v>
      </c>
      <c r="D918" s="199" t="s">
        <v>3489</v>
      </c>
      <c r="E918" s="199"/>
      <c r="F918" s="200"/>
      <c r="G918" s="201" t="s">
        <v>3490</v>
      </c>
      <c r="H918" s="198"/>
      <c r="I918" s="199"/>
      <c r="J918" s="229"/>
      <c r="K918" s="390"/>
      <c r="L918" s="391"/>
      <c r="M918" s="392"/>
      <c r="N918" s="393"/>
      <c r="O918" s="392"/>
      <c r="P918" s="394"/>
      <c r="Q918" s="570"/>
      <c r="R918" s="571"/>
      <c r="S918" s="572"/>
      <c r="T918" s="573"/>
      <c r="U918" s="572"/>
      <c r="V918" s="574"/>
      <c r="W918" s="756"/>
      <c r="X918" s="757"/>
      <c r="Y918" s="758"/>
      <c r="Z918" s="759"/>
      <c r="AA918" s="758"/>
      <c r="AB918" s="760"/>
      <c r="AC918" s="902"/>
      <c r="AD918" s="903"/>
      <c r="AE918" s="904"/>
      <c r="AF918" s="905"/>
      <c r="AG918" s="904"/>
      <c r="AH918" s="992"/>
      <c r="AI918" s="951" t="s">
        <v>3491</v>
      </c>
    </row>
    <row r="919" spans="1:35" ht="26.25" x14ac:dyDescent="0.25">
      <c r="A919" s="198" t="s">
        <v>3492</v>
      </c>
      <c r="B919" s="199" t="s">
        <v>3240</v>
      </c>
      <c r="C919" s="199" t="s">
        <v>3488</v>
      </c>
      <c r="D919" s="199" t="s">
        <v>3493</v>
      </c>
      <c r="E919" s="199" t="s">
        <v>3494</v>
      </c>
      <c r="F919" s="200"/>
      <c r="G919" s="201" t="s">
        <v>3495</v>
      </c>
      <c r="H919" s="198"/>
      <c r="I919" s="199"/>
      <c r="J919" s="229"/>
      <c r="K919" s="390"/>
      <c r="L919" s="391"/>
      <c r="M919" s="392"/>
      <c r="N919" s="393"/>
      <c r="O919" s="392"/>
      <c r="P919" s="394"/>
      <c r="Q919" s="570"/>
      <c r="R919" s="571"/>
      <c r="S919" s="572"/>
      <c r="T919" s="573"/>
      <c r="U919" s="572"/>
      <c r="V919" s="574"/>
      <c r="W919" s="756"/>
      <c r="X919" s="757"/>
      <c r="Y919" s="758"/>
      <c r="Z919" s="759"/>
      <c r="AA919" s="758"/>
      <c r="AB919" s="760"/>
      <c r="AC919" s="902"/>
      <c r="AD919" s="903"/>
      <c r="AE919" s="904"/>
      <c r="AF919" s="905"/>
      <c r="AG919" s="904"/>
      <c r="AH919" s="992"/>
      <c r="AI919" s="951"/>
    </row>
    <row r="920" spans="1:35" ht="26.25" x14ac:dyDescent="0.25">
      <c r="A920" s="198" t="s">
        <v>3496</v>
      </c>
      <c r="B920" s="199" t="s">
        <v>3240</v>
      </c>
      <c r="C920" s="199" t="s">
        <v>3488</v>
      </c>
      <c r="D920" s="199" t="s">
        <v>3493</v>
      </c>
      <c r="E920" s="199"/>
      <c r="F920" s="200"/>
      <c r="G920" s="201" t="s">
        <v>3493</v>
      </c>
      <c r="H920" s="198"/>
      <c r="I920" s="199"/>
      <c r="J920" s="229"/>
      <c r="K920" s="390"/>
      <c r="L920" s="391"/>
      <c r="M920" s="392"/>
      <c r="N920" s="393"/>
      <c r="O920" s="392"/>
      <c r="P920" s="394"/>
      <c r="Q920" s="570"/>
      <c r="R920" s="571"/>
      <c r="S920" s="572"/>
      <c r="T920" s="573"/>
      <c r="U920" s="572"/>
      <c r="V920" s="574"/>
      <c r="W920" s="756"/>
      <c r="X920" s="757"/>
      <c r="Y920" s="758"/>
      <c r="Z920" s="759"/>
      <c r="AA920" s="758"/>
      <c r="AB920" s="760"/>
      <c r="AC920" s="902"/>
      <c r="AD920" s="903"/>
      <c r="AE920" s="904"/>
      <c r="AF920" s="905"/>
      <c r="AG920" s="904"/>
      <c r="AH920" s="992"/>
      <c r="AI920" s="951" t="s">
        <v>3497</v>
      </c>
    </row>
    <row r="921" spans="1:35" ht="26.25" x14ac:dyDescent="0.25">
      <c r="A921" s="198" t="s">
        <v>3498</v>
      </c>
      <c r="B921" s="199" t="s">
        <v>3240</v>
      </c>
      <c r="C921" s="199" t="s">
        <v>3488</v>
      </c>
      <c r="D921" s="199" t="s">
        <v>3499</v>
      </c>
      <c r="E921" s="199" t="s">
        <v>3494</v>
      </c>
      <c r="F921" s="200"/>
      <c r="G921" s="201" t="s">
        <v>3500</v>
      </c>
      <c r="H921" s="198"/>
      <c r="I921" s="199"/>
      <c r="J921" s="229"/>
      <c r="K921" s="390"/>
      <c r="L921" s="391"/>
      <c r="M921" s="392"/>
      <c r="N921" s="393"/>
      <c r="O921" s="392"/>
      <c r="P921" s="394"/>
      <c r="Q921" s="570"/>
      <c r="R921" s="571"/>
      <c r="S921" s="572"/>
      <c r="T921" s="573"/>
      <c r="U921" s="572"/>
      <c r="V921" s="574"/>
      <c r="W921" s="756"/>
      <c r="X921" s="757"/>
      <c r="Y921" s="758"/>
      <c r="Z921" s="759"/>
      <c r="AA921" s="758"/>
      <c r="AB921" s="760"/>
      <c r="AC921" s="902"/>
      <c r="AD921" s="903"/>
      <c r="AE921" s="904"/>
      <c r="AF921" s="905"/>
      <c r="AG921" s="904"/>
      <c r="AH921" s="992"/>
      <c r="AI921" s="951"/>
    </row>
    <row r="922" spans="1:35" ht="26.25" x14ac:dyDescent="0.25">
      <c r="A922" s="198" t="s">
        <v>3501</v>
      </c>
      <c r="B922" s="199" t="s">
        <v>3240</v>
      </c>
      <c r="C922" s="199" t="s">
        <v>3488</v>
      </c>
      <c r="D922" s="199" t="s">
        <v>3499</v>
      </c>
      <c r="E922" s="199" t="s">
        <v>3502</v>
      </c>
      <c r="F922" s="200"/>
      <c r="G922" s="201" t="s">
        <v>3321</v>
      </c>
      <c r="H922" s="198"/>
      <c r="I922" s="199"/>
      <c r="J922" s="229"/>
      <c r="K922" s="390"/>
      <c r="L922" s="391"/>
      <c r="M922" s="392"/>
      <c r="N922" s="393"/>
      <c r="O922" s="392"/>
      <c r="P922" s="394"/>
      <c r="Q922" s="570"/>
      <c r="R922" s="571"/>
      <c r="S922" s="572"/>
      <c r="T922" s="573"/>
      <c r="U922" s="572"/>
      <c r="V922" s="574"/>
      <c r="W922" s="756"/>
      <c r="X922" s="757"/>
      <c r="Y922" s="758"/>
      <c r="Z922" s="759"/>
      <c r="AA922" s="758"/>
      <c r="AB922" s="760"/>
      <c r="AC922" s="902"/>
      <c r="AD922" s="903"/>
      <c r="AE922" s="904"/>
      <c r="AF922" s="905"/>
      <c r="AG922" s="904"/>
      <c r="AH922" s="992"/>
      <c r="AI922" s="951" t="s">
        <v>2013</v>
      </c>
    </row>
    <row r="923" spans="1:35" ht="26.25" x14ac:dyDescent="0.25">
      <c r="A923" s="198" t="s">
        <v>3503</v>
      </c>
      <c r="B923" s="199" t="s">
        <v>3240</v>
      </c>
      <c r="C923" s="199" t="s">
        <v>3488</v>
      </c>
      <c r="D923" s="199" t="s">
        <v>3499</v>
      </c>
      <c r="E923" s="199" t="s">
        <v>3504</v>
      </c>
      <c r="F923" s="200"/>
      <c r="G923" s="201" t="s">
        <v>3505</v>
      </c>
      <c r="H923" s="198"/>
      <c r="I923" s="199"/>
      <c r="J923" s="229"/>
      <c r="K923" s="390"/>
      <c r="L923" s="391"/>
      <c r="M923" s="392"/>
      <c r="N923" s="393"/>
      <c r="O923" s="392"/>
      <c r="P923" s="394"/>
      <c r="Q923" s="570"/>
      <c r="R923" s="571"/>
      <c r="S923" s="572"/>
      <c r="T923" s="573"/>
      <c r="U923" s="572"/>
      <c r="V923" s="574"/>
      <c r="W923" s="756"/>
      <c r="X923" s="757"/>
      <c r="Y923" s="758"/>
      <c r="Z923" s="759"/>
      <c r="AA923" s="758"/>
      <c r="AB923" s="760"/>
      <c r="AC923" s="902"/>
      <c r="AD923" s="903"/>
      <c r="AE923" s="904"/>
      <c r="AF923" s="905"/>
      <c r="AG923" s="904"/>
      <c r="AH923" s="992"/>
      <c r="AI923" s="951"/>
    </row>
    <row r="924" spans="1:35" ht="26.25" x14ac:dyDescent="0.25">
      <c r="A924" s="198" t="s">
        <v>3506</v>
      </c>
      <c r="B924" s="199" t="s">
        <v>3240</v>
      </c>
      <c r="C924" s="199" t="s">
        <v>3488</v>
      </c>
      <c r="D924" s="199" t="s">
        <v>3499</v>
      </c>
      <c r="E924" s="199" t="s">
        <v>1442</v>
      </c>
      <c r="F924" s="200"/>
      <c r="G924" s="201" t="s">
        <v>3507</v>
      </c>
      <c r="H924" s="198"/>
      <c r="I924" s="199"/>
      <c r="J924" s="229"/>
      <c r="K924" s="390"/>
      <c r="L924" s="391"/>
      <c r="M924" s="392"/>
      <c r="N924" s="393"/>
      <c r="O924" s="392"/>
      <c r="P924" s="394"/>
      <c r="Q924" s="570"/>
      <c r="R924" s="571"/>
      <c r="S924" s="572"/>
      <c r="T924" s="573"/>
      <c r="U924" s="572"/>
      <c r="V924" s="574"/>
      <c r="W924" s="756"/>
      <c r="X924" s="757"/>
      <c r="Y924" s="758"/>
      <c r="Z924" s="759"/>
      <c r="AA924" s="758"/>
      <c r="AB924" s="760"/>
      <c r="AC924" s="902"/>
      <c r="AD924" s="903"/>
      <c r="AE924" s="904"/>
      <c r="AF924" s="905"/>
      <c r="AG924" s="904"/>
      <c r="AH924" s="992"/>
      <c r="AI924" s="951"/>
    </row>
    <row r="925" spans="1:35" ht="26.25" x14ac:dyDescent="0.25">
      <c r="A925" s="198" t="s">
        <v>3508</v>
      </c>
      <c r="B925" s="199" t="s">
        <v>3240</v>
      </c>
      <c r="C925" s="199" t="s">
        <v>3488</v>
      </c>
      <c r="D925" s="199" t="s">
        <v>3499</v>
      </c>
      <c r="E925" s="199"/>
      <c r="F925" s="200"/>
      <c r="G925" s="201" t="s">
        <v>3499</v>
      </c>
      <c r="H925" s="198"/>
      <c r="I925" s="199"/>
      <c r="J925" s="229"/>
      <c r="K925" s="390"/>
      <c r="L925" s="391"/>
      <c r="M925" s="392"/>
      <c r="N925" s="393"/>
      <c r="O925" s="392"/>
      <c r="P925" s="394"/>
      <c r="Q925" s="570"/>
      <c r="R925" s="571"/>
      <c r="S925" s="572"/>
      <c r="T925" s="573"/>
      <c r="U925" s="572"/>
      <c r="V925" s="574"/>
      <c r="W925" s="756"/>
      <c r="X925" s="757"/>
      <c r="Y925" s="758"/>
      <c r="Z925" s="759"/>
      <c r="AA925" s="758"/>
      <c r="AB925" s="760"/>
      <c r="AC925" s="902"/>
      <c r="AD925" s="903"/>
      <c r="AE925" s="904"/>
      <c r="AF925" s="905"/>
      <c r="AG925" s="904"/>
      <c r="AH925" s="992"/>
      <c r="AI925" s="951"/>
    </row>
    <row r="926" spans="1:35" x14ac:dyDescent="0.25">
      <c r="A926" s="198" t="s">
        <v>3509</v>
      </c>
      <c r="B926" s="199" t="s">
        <v>3240</v>
      </c>
      <c r="C926" s="199" t="s">
        <v>3488</v>
      </c>
      <c r="D926" s="199" t="s">
        <v>3510</v>
      </c>
      <c r="E926" s="199"/>
      <c r="F926" s="200"/>
      <c r="G926" s="201" t="s">
        <v>3510</v>
      </c>
      <c r="H926" s="198"/>
      <c r="I926" s="199"/>
      <c r="J926" s="229"/>
      <c r="K926" s="390"/>
      <c r="L926" s="391"/>
      <c r="M926" s="392"/>
      <c r="N926" s="393"/>
      <c r="O926" s="392"/>
      <c r="P926" s="394"/>
      <c r="Q926" s="570"/>
      <c r="R926" s="571"/>
      <c r="S926" s="572"/>
      <c r="T926" s="573"/>
      <c r="U926" s="572"/>
      <c r="V926" s="574"/>
      <c r="W926" s="756"/>
      <c r="X926" s="757"/>
      <c r="Y926" s="758"/>
      <c r="Z926" s="759"/>
      <c r="AA926" s="758"/>
      <c r="AB926" s="760"/>
      <c r="AC926" s="902"/>
      <c r="AD926" s="903"/>
      <c r="AE926" s="904"/>
      <c r="AF926" s="905"/>
      <c r="AG926" s="904"/>
      <c r="AH926" s="992"/>
      <c r="AI926" s="951" t="s">
        <v>3511</v>
      </c>
    </row>
    <row r="927" spans="1:35" ht="26.25" x14ac:dyDescent="0.25">
      <c r="A927" s="198" t="s">
        <v>3512</v>
      </c>
      <c r="B927" s="199" t="s">
        <v>3240</v>
      </c>
      <c r="C927" s="199" t="s">
        <v>3488</v>
      </c>
      <c r="D927" s="199" t="s">
        <v>3513</v>
      </c>
      <c r="E927" s="199" t="s">
        <v>1837</v>
      </c>
      <c r="F927" s="200"/>
      <c r="G927" s="201" t="s">
        <v>3514</v>
      </c>
      <c r="H927" s="198"/>
      <c r="I927" s="199"/>
      <c r="J927" s="229"/>
      <c r="K927" s="390"/>
      <c r="L927" s="391"/>
      <c r="M927" s="392"/>
      <c r="N927" s="393"/>
      <c r="O927" s="392"/>
      <c r="P927" s="394"/>
      <c r="Q927" s="570"/>
      <c r="R927" s="571"/>
      <c r="S927" s="572"/>
      <c r="T927" s="573"/>
      <c r="U927" s="572"/>
      <c r="V927" s="574"/>
      <c r="W927" s="756"/>
      <c r="X927" s="757"/>
      <c r="Y927" s="758"/>
      <c r="Z927" s="759"/>
      <c r="AA927" s="758"/>
      <c r="AB927" s="760"/>
      <c r="AC927" s="902"/>
      <c r="AD927" s="903"/>
      <c r="AE927" s="904"/>
      <c r="AF927" s="905"/>
      <c r="AG927" s="904"/>
      <c r="AH927" s="992"/>
      <c r="AI927" s="951" t="s">
        <v>3515</v>
      </c>
    </row>
    <row r="928" spans="1:35" ht="39" x14ac:dyDescent="0.25">
      <c r="A928" s="198" t="s">
        <v>3516</v>
      </c>
      <c r="B928" s="199" t="s">
        <v>3240</v>
      </c>
      <c r="C928" s="199" t="s">
        <v>3488</v>
      </c>
      <c r="D928" s="199" t="s">
        <v>3513</v>
      </c>
      <c r="E928" s="199" t="s">
        <v>3517</v>
      </c>
      <c r="F928" s="200"/>
      <c r="G928" s="201" t="s">
        <v>3517</v>
      </c>
      <c r="H928" s="198"/>
      <c r="I928" s="199"/>
      <c r="J928" s="229"/>
      <c r="K928" s="390"/>
      <c r="L928" s="391"/>
      <c r="M928" s="392"/>
      <c r="N928" s="393"/>
      <c r="O928" s="392"/>
      <c r="P928" s="394"/>
      <c r="Q928" s="570"/>
      <c r="R928" s="571"/>
      <c r="S928" s="572"/>
      <c r="T928" s="573"/>
      <c r="U928" s="572"/>
      <c r="V928" s="574"/>
      <c r="W928" s="756"/>
      <c r="X928" s="757"/>
      <c r="Y928" s="758"/>
      <c r="Z928" s="759"/>
      <c r="AA928" s="758"/>
      <c r="AB928" s="760"/>
      <c r="AC928" s="902"/>
      <c r="AD928" s="903"/>
      <c r="AE928" s="904"/>
      <c r="AF928" s="905"/>
      <c r="AG928" s="904"/>
      <c r="AH928" s="992"/>
      <c r="AI928" s="951" t="s">
        <v>3382</v>
      </c>
    </row>
    <row r="929" spans="1:35" ht="64.5" x14ac:dyDescent="0.25">
      <c r="A929" s="198" t="s">
        <v>3518</v>
      </c>
      <c r="B929" s="199" t="s">
        <v>3240</v>
      </c>
      <c r="C929" s="199" t="s">
        <v>3488</v>
      </c>
      <c r="D929" s="199" t="s">
        <v>3513</v>
      </c>
      <c r="E929" s="199" t="s">
        <v>3519</v>
      </c>
      <c r="F929" s="200"/>
      <c r="G929" s="201" t="s">
        <v>3520</v>
      </c>
      <c r="H929" s="198"/>
      <c r="I929" s="199"/>
      <c r="J929" s="229"/>
      <c r="K929" s="390"/>
      <c r="L929" s="391"/>
      <c r="M929" s="392"/>
      <c r="N929" s="393"/>
      <c r="O929" s="392"/>
      <c r="P929" s="394"/>
      <c r="Q929" s="570"/>
      <c r="R929" s="571"/>
      <c r="S929" s="572"/>
      <c r="T929" s="573"/>
      <c r="U929" s="572"/>
      <c r="V929" s="574"/>
      <c r="W929" s="756"/>
      <c r="X929" s="757"/>
      <c r="Y929" s="758"/>
      <c r="Z929" s="759"/>
      <c r="AA929" s="758"/>
      <c r="AB929" s="760"/>
      <c r="AC929" s="902"/>
      <c r="AD929" s="903"/>
      <c r="AE929" s="904"/>
      <c r="AF929" s="905"/>
      <c r="AG929" s="904"/>
      <c r="AH929" s="992"/>
      <c r="AI929" s="951" t="s">
        <v>3382</v>
      </c>
    </row>
    <row r="930" spans="1:35" x14ac:dyDescent="0.25">
      <c r="A930" s="198" t="s">
        <v>3521</v>
      </c>
      <c r="B930" s="199" t="s">
        <v>3240</v>
      </c>
      <c r="C930" s="199" t="s">
        <v>3488</v>
      </c>
      <c r="D930" s="199" t="s">
        <v>3513</v>
      </c>
      <c r="E930" s="199"/>
      <c r="F930" s="200"/>
      <c r="G930" s="201" t="s">
        <v>3513</v>
      </c>
      <c r="H930" s="198"/>
      <c r="I930" s="199"/>
      <c r="J930" s="229"/>
      <c r="K930" s="390"/>
      <c r="L930" s="391"/>
      <c r="M930" s="392"/>
      <c r="N930" s="393"/>
      <c r="O930" s="392"/>
      <c r="P930" s="394"/>
      <c r="Q930" s="570"/>
      <c r="R930" s="571"/>
      <c r="S930" s="572"/>
      <c r="T930" s="573"/>
      <c r="U930" s="572"/>
      <c r="V930" s="574"/>
      <c r="W930" s="756"/>
      <c r="X930" s="757"/>
      <c r="Y930" s="758"/>
      <c r="Z930" s="759"/>
      <c r="AA930" s="758"/>
      <c r="AB930" s="760"/>
      <c r="AC930" s="902"/>
      <c r="AD930" s="903"/>
      <c r="AE930" s="904"/>
      <c r="AF930" s="905"/>
      <c r="AG930" s="904"/>
      <c r="AH930" s="992"/>
      <c r="AI930" s="951"/>
    </row>
    <row r="931" spans="1:35" x14ac:dyDescent="0.25">
      <c r="A931" s="198" t="s">
        <v>3522</v>
      </c>
      <c r="B931" s="199" t="s">
        <v>3240</v>
      </c>
      <c r="C931" s="199" t="s">
        <v>3488</v>
      </c>
      <c r="D931" s="199" t="s">
        <v>3523</v>
      </c>
      <c r="E931" s="199"/>
      <c r="F931" s="200"/>
      <c r="G931" s="201" t="s">
        <v>3523</v>
      </c>
      <c r="H931" s="198"/>
      <c r="I931" s="199"/>
      <c r="J931" s="229"/>
      <c r="K931" s="390"/>
      <c r="L931" s="391"/>
      <c r="M931" s="392"/>
      <c r="N931" s="393"/>
      <c r="O931" s="392"/>
      <c r="P931" s="394"/>
      <c r="Q931" s="570"/>
      <c r="R931" s="571"/>
      <c r="S931" s="572"/>
      <c r="T931" s="573"/>
      <c r="U931" s="572"/>
      <c r="V931" s="574"/>
      <c r="W931" s="756"/>
      <c r="X931" s="757"/>
      <c r="Y931" s="758"/>
      <c r="Z931" s="759"/>
      <c r="AA931" s="758"/>
      <c r="AB931" s="760"/>
      <c r="AC931" s="902"/>
      <c r="AD931" s="903"/>
      <c r="AE931" s="904"/>
      <c r="AF931" s="905"/>
      <c r="AG931" s="904"/>
      <c r="AH931" s="992"/>
      <c r="AI931" s="951" t="s">
        <v>3524</v>
      </c>
    </row>
    <row r="932" spans="1:35" ht="26.25" x14ac:dyDescent="0.25">
      <c r="A932" s="198" t="s">
        <v>3525</v>
      </c>
      <c r="B932" s="199" t="s">
        <v>3240</v>
      </c>
      <c r="C932" s="199" t="s">
        <v>3488</v>
      </c>
      <c r="D932" s="199" t="s">
        <v>3526</v>
      </c>
      <c r="E932" s="199" t="s">
        <v>3494</v>
      </c>
      <c r="F932" s="200"/>
      <c r="G932" s="201" t="s">
        <v>3527</v>
      </c>
      <c r="H932" s="198"/>
      <c r="I932" s="199"/>
      <c r="J932" s="229"/>
      <c r="K932" s="390"/>
      <c r="L932" s="391"/>
      <c r="M932" s="392"/>
      <c r="N932" s="393"/>
      <c r="O932" s="392"/>
      <c r="P932" s="394"/>
      <c r="Q932" s="570"/>
      <c r="R932" s="571"/>
      <c r="S932" s="572"/>
      <c r="T932" s="573"/>
      <c r="U932" s="572"/>
      <c r="V932" s="574"/>
      <c r="W932" s="756"/>
      <c r="X932" s="757"/>
      <c r="Y932" s="758"/>
      <c r="Z932" s="759"/>
      <c r="AA932" s="758"/>
      <c r="AB932" s="760"/>
      <c r="AC932" s="902"/>
      <c r="AD932" s="903"/>
      <c r="AE932" s="904"/>
      <c r="AF932" s="905"/>
      <c r="AG932" s="904"/>
      <c r="AH932" s="992"/>
      <c r="AI932" s="951"/>
    </row>
    <row r="933" spans="1:35" x14ac:dyDescent="0.25">
      <c r="A933" s="198" t="s">
        <v>3528</v>
      </c>
      <c r="B933" s="199" t="s">
        <v>3240</v>
      </c>
      <c r="C933" s="199" t="s">
        <v>3488</v>
      </c>
      <c r="D933" s="199" t="s">
        <v>3526</v>
      </c>
      <c r="E933" s="199"/>
      <c r="F933" s="200"/>
      <c r="G933" s="201" t="s">
        <v>3526</v>
      </c>
      <c r="H933" s="198"/>
      <c r="I933" s="199"/>
      <c r="J933" s="229"/>
      <c r="K933" s="390"/>
      <c r="L933" s="391"/>
      <c r="M933" s="392"/>
      <c r="N933" s="393"/>
      <c r="O933" s="392"/>
      <c r="P933" s="394"/>
      <c r="Q933" s="570"/>
      <c r="R933" s="571"/>
      <c r="S933" s="572"/>
      <c r="T933" s="573"/>
      <c r="U933" s="572"/>
      <c r="V933" s="574"/>
      <c r="W933" s="756"/>
      <c r="X933" s="757"/>
      <c r="Y933" s="758"/>
      <c r="Z933" s="759"/>
      <c r="AA933" s="758"/>
      <c r="AB933" s="760"/>
      <c r="AC933" s="902"/>
      <c r="AD933" s="903"/>
      <c r="AE933" s="904"/>
      <c r="AF933" s="905"/>
      <c r="AG933" s="904"/>
      <c r="AH933" s="992"/>
      <c r="AI933" s="951" t="s">
        <v>2112</v>
      </c>
    </row>
    <row r="934" spans="1:35" ht="26.25" x14ac:dyDescent="0.25">
      <c r="A934" s="198" t="s">
        <v>3529</v>
      </c>
      <c r="B934" s="199" t="s">
        <v>3240</v>
      </c>
      <c r="C934" s="199" t="s">
        <v>3488</v>
      </c>
      <c r="D934" s="199" t="s">
        <v>3530</v>
      </c>
      <c r="E934" s="199"/>
      <c r="F934" s="200"/>
      <c r="G934" s="201" t="s">
        <v>3530</v>
      </c>
      <c r="H934" s="198"/>
      <c r="I934" s="199"/>
      <c r="J934" s="229"/>
      <c r="K934" s="390"/>
      <c r="L934" s="391"/>
      <c r="M934" s="392"/>
      <c r="N934" s="393"/>
      <c r="O934" s="392"/>
      <c r="P934" s="394"/>
      <c r="Q934" s="570"/>
      <c r="R934" s="571"/>
      <c r="S934" s="572"/>
      <c r="T934" s="573"/>
      <c r="U934" s="572"/>
      <c r="V934" s="574"/>
      <c r="W934" s="756"/>
      <c r="X934" s="757"/>
      <c r="Y934" s="758"/>
      <c r="Z934" s="759"/>
      <c r="AA934" s="758"/>
      <c r="AB934" s="760"/>
      <c r="AC934" s="902"/>
      <c r="AD934" s="903"/>
      <c r="AE934" s="904"/>
      <c r="AF934" s="905"/>
      <c r="AG934" s="904"/>
      <c r="AH934" s="992"/>
      <c r="AI934" s="951" t="s">
        <v>3531</v>
      </c>
    </row>
    <row r="935" spans="1:35" x14ac:dyDescent="0.25">
      <c r="A935" s="198" t="s">
        <v>3532</v>
      </c>
      <c r="B935" s="199" t="s">
        <v>3240</v>
      </c>
      <c r="C935" s="199" t="s">
        <v>3488</v>
      </c>
      <c r="D935" s="199" t="s">
        <v>3533</v>
      </c>
      <c r="E935" s="199"/>
      <c r="F935" s="200"/>
      <c r="G935" s="201" t="s">
        <v>3533</v>
      </c>
      <c r="H935" s="198"/>
      <c r="I935" s="199"/>
      <c r="J935" s="229"/>
      <c r="K935" s="390"/>
      <c r="L935" s="391"/>
      <c r="M935" s="392"/>
      <c r="N935" s="393"/>
      <c r="O935" s="392"/>
      <c r="P935" s="394"/>
      <c r="Q935" s="570"/>
      <c r="R935" s="571"/>
      <c r="S935" s="572"/>
      <c r="T935" s="573"/>
      <c r="U935" s="572"/>
      <c r="V935" s="574"/>
      <c r="W935" s="756"/>
      <c r="X935" s="757"/>
      <c r="Y935" s="758"/>
      <c r="Z935" s="759"/>
      <c r="AA935" s="758"/>
      <c r="AB935" s="760"/>
      <c r="AC935" s="902"/>
      <c r="AD935" s="903"/>
      <c r="AE935" s="904"/>
      <c r="AF935" s="905"/>
      <c r="AG935" s="904"/>
      <c r="AH935" s="992"/>
      <c r="AI935" s="951" t="s">
        <v>3534</v>
      </c>
    </row>
    <row r="936" spans="1:35" ht="26.25" x14ac:dyDescent="0.25">
      <c r="A936" s="198" t="s">
        <v>3535</v>
      </c>
      <c r="B936" s="199" t="s">
        <v>3240</v>
      </c>
      <c r="C936" s="199" t="s">
        <v>3536</v>
      </c>
      <c r="D936" s="199" t="s">
        <v>3537</v>
      </c>
      <c r="E936" s="199"/>
      <c r="F936" s="200"/>
      <c r="G936" s="201" t="s">
        <v>3537</v>
      </c>
      <c r="H936" s="198"/>
      <c r="I936" s="199"/>
      <c r="J936" s="229"/>
      <c r="K936" s="390"/>
      <c r="L936" s="391"/>
      <c r="M936" s="392"/>
      <c r="N936" s="393"/>
      <c r="O936" s="392"/>
      <c r="P936" s="394"/>
      <c r="Q936" s="570"/>
      <c r="R936" s="571"/>
      <c r="S936" s="572"/>
      <c r="T936" s="573"/>
      <c r="U936" s="572"/>
      <c r="V936" s="574"/>
      <c r="W936" s="756"/>
      <c r="X936" s="757"/>
      <c r="Y936" s="758"/>
      <c r="Z936" s="759"/>
      <c r="AA936" s="758"/>
      <c r="AB936" s="760"/>
      <c r="AC936" s="902"/>
      <c r="AD936" s="903"/>
      <c r="AE936" s="904"/>
      <c r="AF936" s="905"/>
      <c r="AG936" s="904"/>
      <c r="AH936" s="992"/>
      <c r="AI936" s="951" t="s">
        <v>3538</v>
      </c>
    </row>
    <row r="937" spans="1:35" x14ac:dyDescent="0.25">
      <c r="A937" s="198" t="s">
        <v>3539</v>
      </c>
      <c r="B937" s="199" t="s">
        <v>3240</v>
      </c>
      <c r="C937" s="199" t="s">
        <v>3536</v>
      </c>
      <c r="D937" s="199" t="s">
        <v>3540</v>
      </c>
      <c r="E937" s="199"/>
      <c r="F937" s="200"/>
      <c r="G937" s="201" t="s">
        <v>3540</v>
      </c>
      <c r="H937" s="198"/>
      <c r="I937" s="199"/>
      <c r="J937" s="229"/>
      <c r="K937" s="390"/>
      <c r="L937" s="391"/>
      <c r="M937" s="392"/>
      <c r="N937" s="393"/>
      <c r="O937" s="392"/>
      <c r="P937" s="394"/>
      <c r="Q937" s="570"/>
      <c r="R937" s="571"/>
      <c r="S937" s="572"/>
      <c r="T937" s="573"/>
      <c r="U937" s="572"/>
      <c r="V937" s="574"/>
      <c r="W937" s="756"/>
      <c r="X937" s="757"/>
      <c r="Y937" s="758"/>
      <c r="Z937" s="759"/>
      <c r="AA937" s="758"/>
      <c r="AB937" s="760"/>
      <c r="AC937" s="902"/>
      <c r="AD937" s="903"/>
      <c r="AE937" s="904"/>
      <c r="AF937" s="905"/>
      <c r="AG937" s="904"/>
      <c r="AH937" s="992"/>
      <c r="AI937" s="951" t="s">
        <v>3541</v>
      </c>
    </row>
    <row r="938" spans="1:35" ht="26.25" x14ac:dyDescent="0.25">
      <c r="A938" s="198" t="s">
        <v>3542</v>
      </c>
      <c r="B938" s="199" t="s">
        <v>3240</v>
      </c>
      <c r="C938" s="199" t="s">
        <v>3536</v>
      </c>
      <c r="D938" s="199" t="s">
        <v>3543</v>
      </c>
      <c r="E938" s="199"/>
      <c r="F938" s="200"/>
      <c r="G938" s="201" t="s">
        <v>3543</v>
      </c>
      <c r="H938" s="198"/>
      <c r="I938" s="199"/>
      <c r="J938" s="229"/>
      <c r="K938" s="390"/>
      <c r="L938" s="391"/>
      <c r="M938" s="392"/>
      <c r="N938" s="393"/>
      <c r="O938" s="392"/>
      <c r="P938" s="394"/>
      <c r="Q938" s="570"/>
      <c r="R938" s="571"/>
      <c r="S938" s="572"/>
      <c r="T938" s="573"/>
      <c r="U938" s="572"/>
      <c r="V938" s="574"/>
      <c r="W938" s="756"/>
      <c r="X938" s="757"/>
      <c r="Y938" s="758"/>
      <c r="Z938" s="759"/>
      <c r="AA938" s="758"/>
      <c r="AB938" s="760"/>
      <c r="AC938" s="902"/>
      <c r="AD938" s="903"/>
      <c r="AE938" s="904"/>
      <c r="AF938" s="905"/>
      <c r="AG938" s="904"/>
      <c r="AH938" s="992"/>
      <c r="AI938" s="951" t="s">
        <v>3011</v>
      </c>
    </row>
    <row r="939" spans="1:35" ht="26.25" x14ac:dyDescent="0.25">
      <c r="A939" s="198" t="s">
        <v>3544</v>
      </c>
      <c r="B939" s="199" t="s">
        <v>3240</v>
      </c>
      <c r="C939" s="199" t="s">
        <v>3536</v>
      </c>
      <c r="D939" s="199" t="s">
        <v>3545</v>
      </c>
      <c r="E939" s="199"/>
      <c r="F939" s="200"/>
      <c r="G939" s="201" t="s">
        <v>3545</v>
      </c>
      <c r="H939" s="198"/>
      <c r="I939" s="199"/>
      <c r="J939" s="229"/>
      <c r="K939" s="390"/>
      <c r="L939" s="391"/>
      <c r="M939" s="392"/>
      <c r="N939" s="393"/>
      <c r="O939" s="392"/>
      <c r="P939" s="394"/>
      <c r="Q939" s="570"/>
      <c r="R939" s="571"/>
      <c r="S939" s="572"/>
      <c r="T939" s="573"/>
      <c r="U939" s="572"/>
      <c r="V939" s="574"/>
      <c r="W939" s="756"/>
      <c r="X939" s="757"/>
      <c r="Y939" s="758"/>
      <c r="Z939" s="759"/>
      <c r="AA939" s="758"/>
      <c r="AB939" s="760"/>
      <c r="AC939" s="902"/>
      <c r="AD939" s="903"/>
      <c r="AE939" s="904"/>
      <c r="AF939" s="905"/>
      <c r="AG939" s="904"/>
      <c r="AH939" s="992"/>
      <c r="AI939" s="951" t="s">
        <v>3546</v>
      </c>
    </row>
    <row r="940" spans="1:35" ht="26.25" x14ac:dyDescent="0.25">
      <c r="A940" s="198" t="s">
        <v>3547</v>
      </c>
      <c r="B940" s="199" t="s">
        <v>3240</v>
      </c>
      <c r="C940" s="199" t="s">
        <v>3548</v>
      </c>
      <c r="D940" s="199" t="s">
        <v>3549</v>
      </c>
      <c r="E940" s="199"/>
      <c r="F940" s="200"/>
      <c r="G940" s="201" t="s">
        <v>3549</v>
      </c>
      <c r="H940" s="198"/>
      <c r="I940" s="199"/>
      <c r="J940" s="229"/>
      <c r="K940" s="390"/>
      <c r="L940" s="391"/>
      <c r="M940" s="392"/>
      <c r="N940" s="393"/>
      <c r="O940" s="392"/>
      <c r="P940" s="394"/>
      <c r="Q940" s="570"/>
      <c r="R940" s="571"/>
      <c r="S940" s="572"/>
      <c r="T940" s="573"/>
      <c r="U940" s="572"/>
      <c r="V940" s="574"/>
      <c r="W940" s="756"/>
      <c r="X940" s="757"/>
      <c r="Y940" s="758"/>
      <c r="Z940" s="759"/>
      <c r="AA940" s="758"/>
      <c r="AB940" s="760"/>
      <c r="AC940" s="902"/>
      <c r="AD940" s="903"/>
      <c r="AE940" s="904"/>
      <c r="AF940" s="905"/>
      <c r="AG940" s="904"/>
      <c r="AH940" s="992"/>
      <c r="AI940" s="951" t="s">
        <v>3550</v>
      </c>
    </row>
    <row r="941" spans="1:35" ht="26.25" x14ac:dyDescent="0.25">
      <c r="A941" s="198" t="s">
        <v>3551</v>
      </c>
      <c r="B941" s="199" t="s">
        <v>3240</v>
      </c>
      <c r="C941" s="199" t="s">
        <v>3548</v>
      </c>
      <c r="D941" s="199" t="s">
        <v>3552</v>
      </c>
      <c r="E941" s="199"/>
      <c r="F941" s="200"/>
      <c r="G941" s="201" t="s">
        <v>3552</v>
      </c>
      <c r="H941" s="198"/>
      <c r="I941" s="199"/>
      <c r="J941" s="229"/>
      <c r="K941" s="390"/>
      <c r="L941" s="391"/>
      <c r="M941" s="392"/>
      <c r="N941" s="393"/>
      <c r="O941" s="392"/>
      <c r="P941" s="394"/>
      <c r="Q941" s="570"/>
      <c r="R941" s="571"/>
      <c r="S941" s="572"/>
      <c r="T941" s="573"/>
      <c r="U941" s="572"/>
      <c r="V941" s="574"/>
      <c r="W941" s="756"/>
      <c r="X941" s="757"/>
      <c r="Y941" s="758"/>
      <c r="Z941" s="759"/>
      <c r="AA941" s="758"/>
      <c r="AB941" s="760"/>
      <c r="AC941" s="902"/>
      <c r="AD941" s="903"/>
      <c r="AE941" s="904"/>
      <c r="AF941" s="905"/>
      <c r="AG941" s="904"/>
      <c r="AH941" s="992"/>
      <c r="AI941" s="951" t="s">
        <v>3553</v>
      </c>
    </row>
    <row r="942" spans="1:35" x14ac:dyDescent="0.25">
      <c r="A942" s="198" t="s">
        <v>3554</v>
      </c>
      <c r="B942" s="199" t="s">
        <v>3240</v>
      </c>
      <c r="C942" s="199" t="s">
        <v>3548</v>
      </c>
      <c r="D942" s="199" t="s">
        <v>3555</v>
      </c>
      <c r="E942" s="199"/>
      <c r="F942" s="200"/>
      <c r="G942" s="201" t="s">
        <v>3555</v>
      </c>
      <c r="H942" s="198"/>
      <c r="I942" s="199"/>
      <c r="J942" s="229"/>
      <c r="K942" s="390"/>
      <c r="L942" s="391"/>
      <c r="M942" s="392"/>
      <c r="N942" s="393"/>
      <c r="O942" s="392"/>
      <c r="P942" s="394"/>
      <c r="Q942" s="570"/>
      <c r="R942" s="571"/>
      <c r="S942" s="572"/>
      <c r="T942" s="573"/>
      <c r="U942" s="572"/>
      <c r="V942" s="574"/>
      <c r="W942" s="756"/>
      <c r="X942" s="757"/>
      <c r="Y942" s="758"/>
      <c r="Z942" s="759"/>
      <c r="AA942" s="758"/>
      <c r="AB942" s="760"/>
      <c r="AC942" s="902"/>
      <c r="AD942" s="903"/>
      <c r="AE942" s="904"/>
      <c r="AF942" s="905"/>
      <c r="AG942" s="904"/>
      <c r="AH942" s="992"/>
      <c r="AI942" s="951" t="s">
        <v>3556</v>
      </c>
    </row>
    <row r="943" spans="1:35" ht="26.25" x14ac:dyDescent="0.25">
      <c r="A943" s="198" t="s">
        <v>3557</v>
      </c>
      <c r="B943" s="199" t="s">
        <v>3240</v>
      </c>
      <c r="C943" s="199" t="s">
        <v>3548</v>
      </c>
      <c r="D943" s="199" t="s">
        <v>3558</v>
      </c>
      <c r="E943" s="199"/>
      <c r="F943" s="200"/>
      <c r="G943" s="201" t="s">
        <v>3558</v>
      </c>
      <c r="H943" s="198"/>
      <c r="I943" s="199"/>
      <c r="J943" s="229"/>
      <c r="K943" s="390"/>
      <c r="L943" s="391"/>
      <c r="M943" s="392"/>
      <c r="N943" s="393"/>
      <c r="O943" s="392"/>
      <c r="P943" s="394"/>
      <c r="Q943" s="570"/>
      <c r="R943" s="571"/>
      <c r="S943" s="572"/>
      <c r="T943" s="573"/>
      <c r="U943" s="572"/>
      <c r="V943" s="574"/>
      <c r="W943" s="756"/>
      <c r="X943" s="757"/>
      <c r="Y943" s="758"/>
      <c r="Z943" s="759"/>
      <c r="AA943" s="758"/>
      <c r="AB943" s="760"/>
      <c r="AC943" s="902"/>
      <c r="AD943" s="903"/>
      <c r="AE943" s="904"/>
      <c r="AF943" s="905"/>
      <c r="AG943" s="904"/>
      <c r="AH943" s="992"/>
      <c r="AI943" s="951" t="s">
        <v>3559</v>
      </c>
    </row>
    <row r="944" spans="1:35" ht="26.25" x14ac:dyDescent="0.25">
      <c r="A944" s="198" t="s">
        <v>3560</v>
      </c>
      <c r="B944" s="199" t="s">
        <v>3240</v>
      </c>
      <c r="C944" s="199" t="s">
        <v>3561</v>
      </c>
      <c r="D944" s="199" t="s">
        <v>3562</v>
      </c>
      <c r="E944" s="199"/>
      <c r="F944" s="200"/>
      <c r="G944" s="201" t="s">
        <v>3562</v>
      </c>
      <c r="H944" s="198"/>
      <c r="I944" s="199"/>
      <c r="J944" s="229"/>
      <c r="K944" s="390"/>
      <c r="L944" s="391"/>
      <c r="M944" s="392"/>
      <c r="N944" s="393"/>
      <c r="O944" s="392"/>
      <c r="P944" s="394"/>
      <c r="Q944" s="570"/>
      <c r="R944" s="571"/>
      <c r="S944" s="572"/>
      <c r="T944" s="573"/>
      <c r="U944" s="572"/>
      <c r="V944" s="574"/>
      <c r="W944" s="756"/>
      <c r="X944" s="757"/>
      <c r="Y944" s="758"/>
      <c r="Z944" s="759"/>
      <c r="AA944" s="758"/>
      <c r="AB944" s="760"/>
      <c r="AC944" s="902"/>
      <c r="AD944" s="903"/>
      <c r="AE944" s="904"/>
      <c r="AF944" s="905"/>
      <c r="AG944" s="904"/>
      <c r="AH944" s="992"/>
      <c r="AI944" s="951"/>
    </row>
    <row r="945" spans="1:35" ht="39" x14ac:dyDescent="0.25">
      <c r="A945" s="198" t="s">
        <v>3563</v>
      </c>
      <c r="B945" s="199" t="s">
        <v>3240</v>
      </c>
      <c r="C945" s="199" t="s">
        <v>3561</v>
      </c>
      <c r="D945" s="199" t="s">
        <v>3564</v>
      </c>
      <c r="E945" s="199" t="s">
        <v>3565</v>
      </c>
      <c r="F945" s="200"/>
      <c r="G945" s="201" t="s">
        <v>3566</v>
      </c>
      <c r="H945" s="198"/>
      <c r="I945" s="199"/>
      <c r="J945" s="229"/>
      <c r="K945" s="390"/>
      <c r="L945" s="391"/>
      <c r="M945" s="392"/>
      <c r="N945" s="393"/>
      <c r="O945" s="392"/>
      <c r="P945" s="394"/>
      <c r="Q945" s="570"/>
      <c r="R945" s="571"/>
      <c r="S945" s="572"/>
      <c r="T945" s="573"/>
      <c r="U945" s="572"/>
      <c r="V945" s="574"/>
      <c r="W945" s="756"/>
      <c r="X945" s="757"/>
      <c r="Y945" s="758"/>
      <c r="Z945" s="759"/>
      <c r="AA945" s="758"/>
      <c r="AB945" s="760"/>
      <c r="AC945" s="902"/>
      <c r="AD945" s="903"/>
      <c r="AE945" s="904"/>
      <c r="AF945" s="905"/>
      <c r="AG945" s="904"/>
      <c r="AH945" s="992"/>
      <c r="AI945" s="951" t="s">
        <v>2013</v>
      </c>
    </row>
    <row r="946" spans="1:35" ht="26.25" x14ac:dyDescent="0.25">
      <c r="A946" s="198" t="s">
        <v>3567</v>
      </c>
      <c r="B946" s="199" t="s">
        <v>3240</v>
      </c>
      <c r="C946" s="199" t="s">
        <v>3561</v>
      </c>
      <c r="D946" s="199" t="s">
        <v>3564</v>
      </c>
      <c r="E946" s="199" t="s">
        <v>3568</v>
      </c>
      <c r="F946" s="200"/>
      <c r="G946" s="201" t="s">
        <v>3569</v>
      </c>
      <c r="H946" s="198"/>
      <c r="I946" s="199"/>
      <c r="J946" s="229"/>
      <c r="K946" s="390"/>
      <c r="L946" s="391"/>
      <c r="M946" s="392"/>
      <c r="N946" s="393"/>
      <c r="O946" s="392"/>
      <c r="P946" s="394"/>
      <c r="Q946" s="570"/>
      <c r="R946" s="571"/>
      <c r="S946" s="572"/>
      <c r="T946" s="573"/>
      <c r="U946" s="572"/>
      <c r="V946" s="574"/>
      <c r="W946" s="756"/>
      <c r="X946" s="757"/>
      <c r="Y946" s="758"/>
      <c r="Z946" s="759"/>
      <c r="AA946" s="758"/>
      <c r="AB946" s="760"/>
      <c r="AC946" s="902"/>
      <c r="AD946" s="903"/>
      <c r="AE946" s="904"/>
      <c r="AF946" s="905"/>
      <c r="AG946" s="904"/>
      <c r="AH946" s="992"/>
      <c r="AI946" s="951" t="s">
        <v>2013</v>
      </c>
    </row>
    <row r="947" spans="1:35" x14ac:dyDescent="0.25">
      <c r="A947" s="198" t="s">
        <v>3570</v>
      </c>
      <c r="B947" s="199" t="s">
        <v>3240</v>
      </c>
      <c r="C947" s="199" t="s">
        <v>3561</v>
      </c>
      <c r="D947" s="199" t="s">
        <v>3564</v>
      </c>
      <c r="E947" s="199"/>
      <c r="F947" s="200"/>
      <c r="G947" s="201" t="s">
        <v>3564</v>
      </c>
      <c r="H947" s="198"/>
      <c r="I947" s="199"/>
      <c r="J947" s="229"/>
      <c r="K947" s="390"/>
      <c r="L947" s="391"/>
      <c r="M947" s="392"/>
      <c r="N947" s="393"/>
      <c r="O947" s="392"/>
      <c r="P947" s="394"/>
      <c r="Q947" s="570"/>
      <c r="R947" s="571"/>
      <c r="S947" s="572"/>
      <c r="T947" s="573"/>
      <c r="U947" s="572"/>
      <c r="V947" s="574"/>
      <c r="W947" s="756"/>
      <c r="X947" s="757"/>
      <c r="Y947" s="758"/>
      <c r="Z947" s="759"/>
      <c r="AA947" s="758"/>
      <c r="AB947" s="760"/>
      <c r="AC947" s="902"/>
      <c r="AD947" s="903"/>
      <c r="AE947" s="904"/>
      <c r="AF947" s="905"/>
      <c r="AG947" s="904"/>
      <c r="AH947" s="992"/>
      <c r="AI947" s="951" t="s">
        <v>2013</v>
      </c>
    </row>
    <row r="948" spans="1:35" ht="26.25" x14ac:dyDescent="0.25">
      <c r="A948" s="198" t="s">
        <v>3571</v>
      </c>
      <c r="B948" s="199" t="s">
        <v>3240</v>
      </c>
      <c r="C948" s="199" t="s">
        <v>3561</v>
      </c>
      <c r="D948" s="199" t="s">
        <v>3572</v>
      </c>
      <c r="E948" s="199"/>
      <c r="F948" s="200"/>
      <c r="G948" s="201" t="s">
        <v>3573</v>
      </c>
      <c r="H948" s="198"/>
      <c r="I948" s="199"/>
      <c r="J948" s="229"/>
      <c r="K948" s="390"/>
      <c r="L948" s="391"/>
      <c r="M948" s="392"/>
      <c r="N948" s="393"/>
      <c r="O948" s="392"/>
      <c r="P948" s="394"/>
      <c r="Q948" s="570"/>
      <c r="R948" s="571"/>
      <c r="S948" s="572"/>
      <c r="T948" s="573"/>
      <c r="U948" s="572"/>
      <c r="V948" s="574"/>
      <c r="W948" s="756"/>
      <c r="X948" s="757"/>
      <c r="Y948" s="758"/>
      <c r="Z948" s="759"/>
      <c r="AA948" s="758"/>
      <c r="AB948" s="760"/>
      <c r="AC948" s="902"/>
      <c r="AD948" s="903"/>
      <c r="AE948" s="904"/>
      <c r="AF948" s="905"/>
      <c r="AG948" s="904"/>
      <c r="AH948" s="992"/>
      <c r="AI948" s="951" t="s">
        <v>3491</v>
      </c>
    </row>
    <row r="949" spans="1:35" x14ac:dyDescent="0.25">
      <c r="A949" s="198" t="s">
        <v>3574</v>
      </c>
      <c r="B949" s="199" t="s">
        <v>3240</v>
      </c>
      <c r="C949" s="199" t="s">
        <v>3561</v>
      </c>
      <c r="D949" s="199" t="s">
        <v>3575</v>
      </c>
      <c r="E949" s="199" t="s">
        <v>3576</v>
      </c>
      <c r="F949" s="200"/>
      <c r="G949" s="201" t="s">
        <v>3577</v>
      </c>
      <c r="H949" s="198"/>
      <c r="I949" s="199"/>
      <c r="J949" s="229"/>
      <c r="K949" s="390"/>
      <c r="L949" s="391"/>
      <c r="M949" s="392"/>
      <c r="N949" s="393"/>
      <c r="O949" s="392"/>
      <c r="P949" s="394"/>
      <c r="Q949" s="570"/>
      <c r="R949" s="571"/>
      <c r="S949" s="572"/>
      <c r="T949" s="573"/>
      <c r="U949" s="572"/>
      <c r="V949" s="574"/>
      <c r="W949" s="756"/>
      <c r="X949" s="757"/>
      <c r="Y949" s="758"/>
      <c r="Z949" s="759"/>
      <c r="AA949" s="758"/>
      <c r="AB949" s="760"/>
      <c r="AC949" s="902"/>
      <c r="AD949" s="903"/>
      <c r="AE949" s="904"/>
      <c r="AF949" s="905"/>
      <c r="AG949" s="904"/>
      <c r="AH949" s="992"/>
      <c r="AI949" s="951" t="s">
        <v>2013</v>
      </c>
    </row>
    <row r="950" spans="1:35" x14ac:dyDescent="0.25">
      <c r="A950" s="198" t="s">
        <v>3578</v>
      </c>
      <c r="B950" s="199" t="s">
        <v>3240</v>
      </c>
      <c r="C950" s="199" t="s">
        <v>3561</v>
      </c>
      <c r="D950" s="199" t="s">
        <v>3575</v>
      </c>
      <c r="E950" s="199"/>
      <c r="F950" s="200"/>
      <c r="G950" s="201" t="s">
        <v>3575</v>
      </c>
      <c r="H950" s="198"/>
      <c r="I950" s="199"/>
      <c r="J950" s="229"/>
      <c r="K950" s="390"/>
      <c r="L950" s="391"/>
      <c r="M950" s="392"/>
      <c r="N950" s="393"/>
      <c r="O950" s="392"/>
      <c r="P950" s="394"/>
      <c r="Q950" s="570"/>
      <c r="R950" s="571"/>
      <c r="S950" s="572"/>
      <c r="T950" s="573"/>
      <c r="U950" s="572"/>
      <c r="V950" s="574"/>
      <c r="W950" s="756"/>
      <c r="X950" s="757"/>
      <c r="Y950" s="758"/>
      <c r="Z950" s="759"/>
      <c r="AA950" s="758"/>
      <c r="AB950" s="760"/>
      <c r="AC950" s="902"/>
      <c r="AD950" s="903"/>
      <c r="AE950" s="904"/>
      <c r="AF950" s="905"/>
      <c r="AG950" s="904"/>
      <c r="AH950" s="992"/>
      <c r="AI950" s="951" t="s">
        <v>3579</v>
      </c>
    </row>
    <row r="951" spans="1:35" x14ac:dyDescent="0.25">
      <c r="A951" s="198" t="s">
        <v>3580</v>
      </c>
      <c r="B951" s="199" t="s">
        <v>3240</v>
      </c>
      <c r="C951" s="199" t="s">
        <v>3561</v>
      </c>
      <c r="D951" s="199" t="s">
        <v>3581</v>
      </c>
      <c r="E951" s="199"/>
      <c r="F951" s="200"/>
      <c r="G951" s="201" t="s">
        <v>3582</v>
      </c>
      <c r="H951" s="198"/>
      <c r="I951" s="199"/>
      <c r="J951" s="229"/>
      <c r="K951" s="390"/>
      <c r="L951" s="391"/>
      <c r="M951" s="392"/>
      <c r="N951" s="393"/>
      <c r="O951" s="392"/>
      <c r="P951" s="394"/>
      <c r="Q951" s="570"/>
      <c r="R951" s="571"/>
      <c r="S951" s="572"/>
      <c r="T951" s="573"/>
      <c r="U951" s="572"/>
      <c r="V951" s="574"/>
      <c r="W951" s="756"/>
      <c r="X951" s="757"/>
      <c r="Y951" s="758"/>
      <c r="Z951" s="759"/>
      <c r="AA951" s="758"/>
      <c r="AB951" s="760"/>
      <c r="AC951" s="902"/>
      <c r="AD951" s="903"/>
      <c r="AE951" s="904"/>
      <c r="AF951" s="905"/>
      <c r="AG951" s="904"/>
      <c r="AH951" s="992"/>
      <c r="AI951" s="951" t="s">
        <v>3583</v>
      </c>
    </row>
    <row r="952" spans="1:35" ht="39" x14ac:dyDescent="0.25">
      <c r="A952" s="198" t="s">
        <v>3584</v>
      </c>
      <c r="B952" s="199" t="s">
        <v>3240</v>
      </c>
      <c r="C952" s="199" t="s">
        <v>3561</v>
      </c>
      <c r="D952" s="199" t="s">
        <v>3585</v>
      </c>
      <c r="E952" s="199"/>
      <c r="F952" s="200"/>
      <c r="G952" s="201" t="s">
        <v>3586</v>
      </c>
      <c r="H952" s="198"/>
      <c r="I952" s="199"/>
      <c r="J952" s="229"/>
      <c r="K952" s="390"/>
      <c r="L952" s="391"/>
      <c r="M952" s="392"/>
      <c r="N952" s="393"/>
      <c r="O952" s="392"/>
      <c r="P952" s="394"/>
      <c r="Q952" s="570"/>
      <c r="R952" s="571"/>
      <c r="S952" s="572"/>
      <c r="T952" s="573"/>
      <c r="U952" s="572"/>
      <c r="V952" s="574"/>
      <c r="W952" s="756"/>
      <c r="X952" s="757"/>
      <c r="Y952" s="758"/>
      <c r="Z952" s="759"/>
      <c r="AA952" s="758"/>
      <c r="AB952" s="760"/>
      <c r="AC952" s="902"/>
      <c r="AD952" s="903"/>
      <c r="AE952" s="904"/>
      <c r="AF952" s="905"/>
      <c r="AG952" s="904"/>
      <c r="AH952" s="992"/>
      <c r="AI952" s="951" t="s">
        <v>3587</v>
      </c>
    </row>
    <row r="953" spans="1:35" ht="39" x14ac:dyDescent="0.25">
      <c r="A953" s="198" t="s">
        <v>3588</v>
      </c>
      <c r="B953" s="199" t="s">
        <v>3240</v>
      </c>
      <c r="C953" s="199" t="s">
        <v>3561</v>
      </c>
      <c r="D953" s="199" t="s">
        <v>3589</v>
      </c>
      <c r="E953" s="199"/>
      <c r="F953" s="200"/>
      <c r="G953" s="201" t="s">
        <v>3590</v>
      </c>
      <c r="H953" s="198"/>
      <c r="I953" s="199"/>
      <c r="J953" s="229"/>
      <c r="K953" s="390"/>
      <c r="L953" s="391"/>
      <c r="M953" s="392"/>
      <c r="N953" s="393"/>
      <c r="O953" s="392"/>
      <c r="P953" s="394"/>
      <c r="Q953" s="570"/>
      <c r="R953" s="571"/>
      <c r="S953" s="572"/>
      <c r="T953" s="573"/>
      <c r="U953" s="572"/>
      <c r="V953" s="574"/>
      <c r="W953" s="756"/>
      <c r="X953" s="757"/>
      <c r="Y953" s="758"/>
      <c r="Z953" s="759"/>
      <c r="AA953" s="758"/>
      <c r="AB953" s="760"/>
      <c r="AC953" s="902"/>
      <c r="AD953" s="903"/>
      <c r="AE953" s="904"/>
      <c r="AF953" s="905"/>
      <c r="AG953" s="904"/>
      <c r="AH953" s="992"/>
      <c r="AI953" s="951" t="s">
        <v>2013</v>
      </c>
    </row>
    <row r="954" spans="1:35" ht="39" x14ac:dyDescent="0.25">
      <c r="A954" s="198" t="s">
        <v>3591</v>
      </c>
      <c r="B954" s="199" t="s">
        <v>3240</v>
      </c>
      <c r="C954" s="199" t="s">
        <v>3561</v>
      </c>
      <c r="D954" s="199" t="s">
        <v>3592</v>
      </c>
      <c r="E954" s="199"/>
      <c r="F954" s="200"/>
      <c r="G954" s="201" t="s">
        <v>3592</v>
      </c>
      <c r="H954" s="198"/>
      <c r="I954" s="199"/>
      <c r="J954" s="229"/>
      <c r="K954" s="390"/>
      <c r="L954" s="391"/>
      <c r="M954" s="392"/>
      <c r="N954" s="393"/>
      <c r="O954" s="392"/>
      <c r="P954" s="394"/>
      <c r="Q954" s="570"/>
      <c r="R954" s="571"/>
      <c r="S954" s="572"/>
      <c r="T954" s="573"/>
      <c r="U954" s="572"/>
      <c r="V954" s="574"/>
      <c r="W954" s="756"/>
      <c r="X954" s="757"/>
      <c r="Y954" s="758"/>
      <c r="Z954" s="759"/>
      <c r="AA954" s="758"/>
      <c r="AB954" s="760"/>
      <c r="AC954" s="902"/>
      <c r="AD954" s="903"/>
      <c r="AE954" s="904"/>
      <c r="AF954" s="905"/>
      <c r="AG954" s="904"/>
      <c r="AH954" s="992"/>
      <c r="AI954" s="951" t="s">
        <v>3593</v>
      </c>
    </row>
    <row r="955" spans="1:35" ht="26.25" x14ac:dyDescent="0.25">
      <c r="A955" s="198" t="s">
        <v>3594</v>
      </c>
      <c r="B955" s="199" t="s">
        <v>3240</v>
      </c>
      <c r="C955" s="199" t="s">
        <v>3561</v>
      </c>
      <c r="D955" s="199" t="s">
        <v>3595</v>
      </c>
      <c r="E955" s="199" t="s">
        <v>3596</v>
      </c>
      <c r="F955" s="200"/>
      <c r="G955" s="201" t="s">
        <v>3597</v>
      </c>
      <c r="H955" s="198"/>
      <c r="I955" s="199"/>
      <c r="J955" s="229"/>
      <c r="K955" s="390"/>
      <c r="L955" s="391"/>
      <c r="M955" s="392"/>
      <c r="N955" s="393"/>
      <c r="O955" s="392"/>
      <c r="P955" s="394"/>
      <c r="Q955" s="570"/>
      <c r="R955" s="571"/>
      <c r="S955" s="572"/>
      <c r="T955" s="573"/>
      <c r="U955" s="572"/>
      <c r="V955" s="574"/>
      <c r="W955" s="756"/>
      <c r="X955" s="757"/>
      <c r="Y955" s="758"/>
      <c r="Z955" s="759"/>
      <c r="AA955" s="758"/>
      <c r="AB955" s="760"/>
      <c r="AC955" s="902"/>
      <c r="AD955" s="903"/>
      <c r="AE955" s="904"/>
      <c r="AF955" s="905"/>
      <c r="AG955" s="904"/>
      <c r="AH955" s="992"/>
      <c r="AI955" s="951" t="s">
        <v>2013</v>
      </c>
    </row>
    <row r="956" spans="1:35" x14ac:dyDescent="0.25">
      <c r="A956" s="198" t="s">
        <v>3598</v>
      </c>
      <c r="B956" s="199" t="s">
        <v>3240</v>
      </c>
      <c r="C956" s="199" t="s">
        <v>3561</v>
      </c>
      <c r="D956" s="199" t="s">
        <v>3595</v>
      </c>
      <c r="E956" s="199"/>
      <c r="F956" s="200"/>
      <c r="G956" s="201" t="s">
        <v>3595</v>
      </c>
      <c r="H956" s="198"/>
      <c r="I956" s="199"/>
      <c r="J956" s="229"/>
      <c r="K956" s="390"/>
      <c r="L956" s="391"/>
      <c r="M956" s="392"/>
      <c r="N956" s="393"/>
      <c r="O956" s="392"/>
      <c r="P956" s="394"/>
      <c r="Q956" s="570"/>
      <c r="R956" s="571"/>
      <c r="S956" s="572"/>
      <c r="T956" s="573"/>
      <c r="U956" s="572"/>
      <c r="V956" s="574"/>
      <c r="W956" s="756"/>
      <c r="X956" s="757"/>
      <c r="Y956" s="758"/>
      <c r="Z956" s="759"/>
      <c r="AA956" s="758"/>
      <c r="AB956" s="760"/>
      <c r="AC956" s="902"/>
      <c r="AD956" s="903"/>
      <c r="AE956" s="904"/>
      <c r="AF956" s="905"/>
      <c r="AG956" s="904"/>
      <c r="AH956" s="992"/>
      <c r="AI956" s="951" t="s">
        <v>3599</v>
      </c>
    </row>
    <row r="957" spans="1:35" x14ac:dyDescent="0.25">
      <c r="A957" s="198" t="s">
        <v>3600</v>
      </c>
      <c r="B957" s="199" t="s">
        <v>3240</v>
      </c>
      <c r="C957" s="199" t="s">
        <v>2066</v>
      </c>
      <c r="D957" s="199" t="s">
        <v>3601</v>
      </c>
      <c r="E957" s="199"/>
      <c r="F957" s="200"/>
      <c r="G957" s="201" t="s">
        <v>3602</v>
      </c>
      <c r="H957" s="198"/>
      <c r="I957" s="199"/>
      <c r="J957" s="229"/>
      <c r="K957" s="390"/>
      <c r="L957" s="391"/>
      <c r="M957" s="392"/>
      <c r="N957" s="393"/>
      <c r="O957" s="392"/>
      <c r="P957" s="394"/>
      <c r="Q957" s="570"/>
      <c r="R957" s="571"/>
      <c r="S957" s="572"/>
      <c r="T957" s="573"/>
      <c r="U957" s="572"/>
      <c r="V957" s="574"/>
      <c r="W957" s="756"/>
      <c r="X957" s="757"/>
      <c r="Y957" s="758"/>
      <c r="Z957" s="759"/>
      <c r="AA957" s="758"/>
      <c r="AB957" s="760"/>
      <c r="AC957" s="902"/>
      <c r="AD957" s="903"/>
      <c r="AE957" s="904"/>
      <c r="AF957" s="905"/>
      <c r="AG957" s="904"/>
      <c r="AH957" s="992"/>
      <c r="AI957" s="951"/>
    </row>
    <row r="958" spans="1:35" x14ac:dyDescent="0.25">
      <c r="A958" s="198" t="s">
        <v>3603</v>
      </c>
      <c r="B958" s="199" t="s">
        <v>3240</v>
      </c>
      <c r="C958" s="199" t="s">
        <v>2066</v>
      </c>
      <c r="D958" s="199" t="s">
        <v>3604</v>
      </c>
      <c r="E958" s="199"/>
      <c r="F958" s="200"/>
      <c r="G958" s="201" t="s">
        <v>3605</v>
      </c>
      <c r="H958" s="198"/>
      <c r="I958" s="199"/>
      <c r="J958" s="229"/>
      <c r="K958" s="390"/>
      <c r="L958" s="391"/>
      <c r="M958" s="392"/>
      <c r="N958" s="393"/>
      <c r="O958" s="392"/>
      <c r="P958" s="394"/>
      <c r="Q958" s="570"/>
      <c r="R958" s="571"/>
      <c r="S958" s="572"/>
      <c r="T958" s="573"/>
      <c r="U958" s="572"/>
      <c r="V958" s="574"/>
      <c r="W958" s="756"/>
      <c r="X958" s="757"/>
      <c r="Y958" s="758"/>
      <c r="Z958" s="759"/>
      <c r="AA958" s="758"/>
      <c r="AB958" s="760"/>
      <c r="AC958" s="902"/>
      <c r="AD958" s="903"/>
      <c r="AE958" s="904"/>
      <c r="AF958" s="905"/>
      <c r="AG958" s="904"/>
      <c r="AH958" s="992"/>
      <c r="AI958" s="951" t="s">
        <v>3606</v>
      </c>
    </row>
    <row r="959" spans="1:35" ht="64.5" x14ac:dyDescent="0.25">
      <c r="A959" s="198" t="s">
        <v>3607</v>
      </c>
      <c r="B959" s="199" t="s">
        <v>3240</v>
      </c>
      <c r="C959" s="199" t="s">
        <v>3608</v>
      </c>
      <c r="D959" s="199" t="s">
        <v>3609</v>
      </c>
      <c r="E959" s="199"/>
      <c r="F959" s="200"/>
      <c r="G959" s="201" t="s">
        <v>3610</v>
      </c>
      <c r="H959" s="198"/>
      <c r="I959" s="199"/>
      <c r="J959" s="229"/>
      <c r="K959" s="390"/>
      <c r="L959" s="391"/>
      <c r="M959" s="392"/>
      <c r="N959" s="393"/>
      <c r="O959" s="392"/>
      <c r="P959" s="394"/>
      <c r="Q959" s="570"/>
      <c r="R959" s="571"/>
      <c r="S959" s="572"/>
      <c r="T959" s="573"/>
      <c r="U959" s="572"/>
      <c r="V959" s="574"/>
      <c r="W959" s="756"/>
      <c r="X959" s="757"/>
      <c r="Y959" s="758"/>
      <c r="Z959" s="759"/>
      <c r="AA959" s="758"/>
      <c r="AB959" s="760"/>
      <c r="AC959" s="902"/>
      <c r="AD959" s="903"/>
      <c r="AE959" s="904"/>
      <c r="AF959" s="905"/>
      <c r="AG959" s="904"/>
      <c r="AH959" s="992"/>
      <c r="AI959" s="951" t="s">
        <v>3611</v>
      </c>
    </row>
    <row r="960" spans="1:35" ht="51.75" x14ac:dyDescent="0.25">
      <c r="A960" s="198" t="s">
        <v>3612</v>
      </c>
      <c r="B960" s="199" t="s">
        <v>3240</v>
      </c>
      <c r="C960" s="199" t="s">
        <v>3608</v>
      </c>
      <c r="D960" s="199" t="s">
        <v>3613</v>
      </c>
      <c r="E960" s="199"/>
      <c r="F960" s="200"/>
      <c r="G960" s="201" t="s">
        <v>3614</v>
      </c>
      <c r="H960" s="198"/>
      <c r="I960" s="199"/>
      <c r="J960" s="229"/>
      <c r="K960" s="390"/>
      <c r="L960" s="391"/>
      <c r="M960" s="392"/>
      <c r="N960" s="393"/>
      <c r="O960" s="392"/>
      <c r="P960" s="394"/>
      <c r="Q960" s="570"/>
      <c r="R960" s="571"/>
      <c r="S960" s="572"/>
      <c r="T960" s="573"/>
      <c r="U960" s="572"/>
      <c r="V960" s="574"/>
      <c r="W960" s="756"/>
      <c r="X960" s="757"/>
      <c r="Y960" s="758"/>
      <c r="Z960" s="759"/>
      <c r="AA960" s="758"/>
      <c r="AB960" s="760"/>
      <c r="AC960" s="902"/>
      <c r="AD960" s="903"/>
      <c r="AE960" s="904"/>
      <c r="AF960" s="905"/>
      <c r="AG960" s="904"/>
      <c r="AH960" s="992"/>
      <c r="AI960" s="951" t="s">
        <v>2013</v>
      </c>
    </row>
    <row r="961" spans="1:35" ht="26.25" x14ac:dyDescent="0.25">
      <c r="A961" s="198" t="s">
        <v>3615</v>
      </c>
      <c r="B961" s="199" t="s">
        <v>3240</v>
      </c>
      <c r="C961" s="199" t="s">
        <v>3608</v>
      </c>
      <c r="D961" s="199" t="s">
        <v>3616</v>
      </c>
      <c r="E961" s="199"/>
      <c r="F961" s="200"/>
      <c r="G961" s="201" t="s">
        <v>3616</v>
      </c>
      <c r="H961" s="198"/>
      <c r="I961" s="199"/>
      <c r="J961" s="229"/>
      <c r="K961" s="390"/>
      <c r="L961" s="391"/>
      <c r="M961" s="392"/>
      <c r="N961" s="393"/>
      <c r="O961" s="392"/>
      <c r="P961" s="394"/>
      <c r="Q961" s="570"/>
      <c r="R961" s="571"/>
      <c r="S961" s="572"/>
      <c r="T961" s="573"/>
      <c r="U961" s="572"/>
      <c r="V961" s="574"/>
      <c r="W961" s="756"/>
      <c r="X961" s="757"/>
      <c r="Y961" s="758"/>
      <c r="Z961" s="759"/>
      <c r="AA961" s="758"/>
      <c r="AB961" s="760"/>
      <c r="AC961" s="902"/>
      <c r="AD961" s="903"/>
      <c r="AE961" s="904"/>
      <c r="AF961" s="905"/>
      <c r="AG961" s="904"/>
      <c r="AH961" s="992"/>
      <c r="AI961" s="951" t="s">
        <v>3617</v>
      </c>
    </row>
    <row r="962" spans="1:35" ht="39" x14ac:dyDescent="0.25">
      <c r="A962" s="198" t="s">
        <v>3618</v>
      </c>
      <c r="B962" s="199" t="s">
        <v>3240</v>
      </c>
      <c r="C962" s="199" t="s">
        <v>3608</v>
      </c>
      <c r="D962" s="199" t="s">
        <v>3619</v>
      </c>
      <c r="E962" s="199"/>
      <c r="F962" s="200"/>
      <c r="G962" s="201" t="s">
        <v>3620</v>
      </c>
      <c r="H962" s="198"/>
      <c r="I962" s="199"/>
      <c r="J962" s="229"/>
      <c r="K962" s="390"/>
      <c r="L962" s="391"/>
      <c r="M962" s="392"/>
      <c r="N962" s="393"/>
      <c r="O962" s="392"/>
      <c r="P962" s="394"/>
      <c r="Q962" s="570"/>
      <c r="R962" s="571"/>
      <c r="S962" s="572"/>
      <c r="T962" s="573"/>
      <c r="U962" s="572"/>
      <c r="V962" s="574"/>
      <c r="W962" s="756"/>
      <c r="X962" s="757"/>
      <c r="Y962" s="758"/>
      <c r="Z962" s="759"/>
      <c r="AA962" s="758"/>
      <c r="AB962" s="760"/>
      <c r="AC962" s="902"/>
      <c r="AD962" s="903"/>
      <c r="AE962" s="904"/>
      <c r="AF962" s="905"/>
      <c r="AG962" s="904"/>
      <c r="AH962" s="992"/>
      <c r="AI962" s="951" t="s">
        <v>3621</v>
      </c>
    </row>
    <row r="963" spans="1:35" ht="51.75" x14ac:dyDescent="0.25">
      <c r="A963" s="198" t="s">
        <v>3622</v>
      </c>
      <c r="B963" s="199" t="s">
        <v>3240</v>
      </c>
      <c r="C963" s="199" t="s">
        <v>3608</v>
      </c>
      <c r="D963" s="199" t="s">
        <v>3623</v>
      </c>
      <c r="E963" s="199"/>
      <c r="F963" s="200"/>
      <c r="G963" s="201" t="s">
        <v>3624</v>
      </c>
      <c r="H963" s="198"/>
      <c r="I963" s="199"/>
      <c r="J963" s="229"/>
      <c r="K963" s="390"/>
      <c r="L963" s="391"/>
      <c r="M963" s="392"/>
      <c r="N963" s="393"/>
      <c r="O963" s="392"/>
      <c r="P963" s="394"/>
      <c r="Q963" s="570"/>
      <c r="R963" s="571"/>
      <c r="S963" s="572"/>
      <c r="T963" s="573"/>
      <c r="U963" s="572"/>
      <c r="V963" s="574"/>
      <c r="W963" s="756"/>
      <c r="X963" s="757"/>
      <c r="Y963" s="758"/>
      <c r="Z963" s="759"/>
      <c r="AA963" s="758"/>
      <c r="AB963" s="760"/>
      <c r="AC963" s="902"/>
      <c r="AD963" s="903"/>
      <c r="AE963" s="904"/>
      <c r="AF963" s="905"/>
      <c r="AG963" s="904"/>
      <c r="AH963" s="992"/>
      <c r="AI963" s="951" t="s">
        <v>3625</v>
      </c>
    </row>
    <row r="964" spans="1:35" ht="39" x14ac:dyDescent="0.25">
      <c r="A964" s="198" t="s">
        <v>3626</v>
      </c>
      <c r="B964" s="199" t="s">
        <v>3240</v>
      </c>
      <c r="C964" s="199" t="s">
        <v>3608</v>
      </c>
      <c r="D964" s="199" t="s">
        <v>3627</v>
      </c>
      <c r="E964" s="199"/>
      <c r="F964" s="200"/>
      <c r="G964" s="201" t="s">
        <v>3628</v>
      </c>
      <c r="H964" s="198"/>
      <c r="I964" s="199"/>
      <c r="J964" s="229"/>
      <c r="K964" s="390"/>
      <c r="L964" s="391"/>
      <c r="M964" s="392"/>
      <c r="N964" s="393"/>
      <c r="O964" s="392"/>
      <c r="P964" s="394"/>
      <c r="Q964" s="570"/>
      <c r="R964" s="571"/>
      <c r="S964" s="572"/>
      <c r="T964" s="573"/>
      <c r="U964" s="572"/>
      <c r="V964" s="574"/>
      <c r="W964" s="756"/>
      <c r="X964" s="757"/>
      <c r="Y964" s="758"/>
      <c r="Z964" s="759"/>
      <c r="AA964" s="758"/>
      <c r="AB964" s="760"/>
      <c r="AC964" s="902"/>
      <c r="AD964" s="903"/>
      <c r="AE964" s="904"/>
      <c r="AF964" s="905"/>
      <c r="AG964" s="904"/>
      <c r="AH964" s="992"/>
      <c r="AI964" s="951" t="s">
        <v>3629</v>
      </c>
    </row>
    <row r="965" spans="1:35" ht="39" x14ac:dyDescent="0.25">
      <c r="A965" s="198" t="s">
        <v>3630</v>
      </c>
      <c r="B965" s="199" t="s">
        <v>3240</v>
      </c>
      <c r="C965" s="199" t="s">
        <v>3608</v>
      </c>
      <c r="D965" s="199" t="s">
        <v>3631</v>
      </c>
      <c r="E965" s="199" t="s">
        <v>3632</v>
      </c>
      <c r="F965" s="200"/>
      <c r="G965" s="201" t="s">
        <v>3633</v>
      </c>
      <c r="H965" s="198"/>
      <c r="I965" s="199"/>
      <c r="J965" s="229"/>
      <c r="K965" s="390"/>
      <c r="L965" s="391"/>
      <c r="M965" s="392"/>
      <c r="N965" s="393"/>
      <c r="O965" s="392"/>
      <c r="P965" s="394"/>
      <c r="Q965" s="570"/>
      <c r="R965" s="571"/>
      <c r="S965" s="572"/>
      <c r="T965" s="573"/>
      <c r="U965" s="572"/>
      <c r="V965" s="574"/>
      <c r="W965" s="756"/>
      <c r="X965" s="757"/>
      <c r="Y965" s="758"/>
      <c r="Z965" s="759"/>
      <c r="AA965" s="758"/>
      <c r="AB965" s="760"/>
      <c r="AC965" s="902"/>
      <c r="AD965" s="903"/>
      <c r="AE965" s="904"/>
      <c r="AF965" s="905"/>
      <c r="AG965" s="904"/>
      <c r="AH965" s="992"/>
      <c r="AI965" s="951" t="s">
        <v>2013</v>
      </c>
    </row>
    <row r="966" spans="1:35" ht="26.25" x14ac:dyDescent="0.25">
      <c r="A966" s="198" t="s">
        <v>3634</v>
      </c>
      <c r="B966" s="199" t="s">
        <v>3240</v>
      </c>
      <c r="C966" s="199" t="s">
        <v>3608</v>
      </c>
      <c r="D966" s="199" t="s">
        <v>3631</v>
      </c>
      <c r="E966" s="199"/>
      <c r="F966" s="200"/>
      <c r="G966" s="201" t="s">
        <v>3631</v>
      </c>
      <c r="H966" s="198"/>
      <c r="I966" s="199"/>
      <c r="J966" s="229"/>
      <c r="K966" s="390"/>
      <c r="L966" s="391"/>
      <c r="M966" s="392"/>
      <c r="N966" s="393"/>
      <c r="O966" s="392"/>
      <c r="P966" s="394"/>
      <c r="Q966" s="570"/>
      <c r="R966" s="571"/>
      <c r="S966" s="572"/>
      <c r="T966" s="573"/>
      <c r="U966" s="572"/>
      <c r="V966" s="574"/>
      <c r="W966" s="756"/>
      <c r="X966" s="757"/>
      <c r="Y966" s="758"/>
      <c r="Z966" s="759"/>
      <c r="AA966" s="758"/>
      <c r="AB966" s="760"/>
      <c r="AC966" s="902"/>
      <c r="AD966" s="903"/>
      <c r="AE966" s="904"/>
      <c r="AF966" s="905"/>
      <c r="AG966" s="904"/>
      <c r="AH966" s="992"/>
      <c r="AI966" s="951" t="s">
        <v>3635</v>
      </c>
    </row>
    <row r="967" spans="1:35" x14ac:dyDescent="0.25">
      <c r="A967" s="198" t="s">
        <v>3636</v>
      </c>
      <c r="B967" s="199" t="s">
        <v>3240</v>
      </c>
      <c r="C967" s="199" t="s">
        <v>3637</v>
      </c>
      <c r="D967" s="199" t="s">
        <v>3638</v>
      </c>
      <c r="E967" s="199" t="s">
        <v>3639</v>
      </c>
      <c r="F967" s="200"/>
      <c r="G967" s="201" t="s">
        <v>3639</v>
      </c>
      <c r="H967" s="198"/>
      <c r="I967" s="199"/>
      <c r="J967" s="229"/>
      <c r="K967" s="390"/>
      <c r="L967" s="391"/>
      <c r="M967" s="392"/>
      <c r="N967" s="393"/>
      <c r="O967" s="392"/>
      <c r="P967" s="394"/>
      <c r="Q967" s="570"/>
      <c r="R967" s="571"/>
      <c r="S967" s="572"/>
      <c r="T967" s="573"/>
      <c r="U967" s="572"/>
      <c r="V967" s="574"/>
      <c r="W967" s="756"/>
      <c r="X967" s="757"/>
      <c r="Y967" s="758"/>
      <c r="Z967" s="759"/>
      <c r="AA967" s="758"/>
      <c r="AB967" s="760"/>
      <c r="AC967" s="902"/>
      <c r="AD967" s="903"/>
      <c r="AE967" s="904"/>
      <c r="AF967" s="905"/>
      <c r="AG967" s="904"/>
      <c r="AH967" s="992"/>
      <c r="AI967" s="951" t="s">
        <v>3629</v>
      </c>
    </row>
    <row r="968" spans="1:35" ht="51.75" x14ac:dyDescent="0.25">
      <c r="A968" s="198" t="s">
        <v>3640</v>
      </c>
      <c r="B968" s="199" t="s">
        <v>3240</v>
      </c>
      <c r="C968" s="199" t="s">
        <v>3637</v>
      </c>
      <c r="D968" s="199" t="s">
        <v>3638</v>
      </c>
      <c r="E968" s="199" t="s">
        <v>3641</v>
      </c>
      <c r="F968" s="200"/>
      <c r="G968" s="201" t="s">
        <v>3642</v>
      </c>
      <c r="H968" s="198"/>
      <c r="I968" s="199"/>
      <c r="J968" s="229"/>
      <c r="K968" s="390"/>
      <c r="L968" s="391"/>
      <c r="M968" s="392"/>
      <c r="N968" s="393"/>
      <c r="O968" s="392"/>
      <c r="P968" s="394"/>
      <c r="Q968" s="570"/>
      <c r="R968" s="571"/>
      <c r="S968" s="572"/>
      <c r="T968" s="573"/>
      <c r="U968" s="572"/>
      <c r="V968" s="574"/>
      <c r="W968" s="756"/>
      <c r="X968" s="757"/>
      <c r="Y968" s="758"/>
      <c r="Z968" s="759"/>
      <c r="AA968" s="758"/>
      <c r="AB968" s="760"/>
      <c r="AC968" s="902"/>
      <c r="AD968" s="903"/>
      <c r="AE968" s="904"/>
      <c r="AF968" s="905"/>
      <c r="AG968" s="904"/>
      <c r="AH968" s="992"/>
      <c r="AI968" s="951" t="s">
        <v>3629</v>
      </c>
    </row>
    <row r="969" spans="1:35" ht="39" x14ac:dyDescent="0.25">
      <c r="A969" s="198" t="s">
        <v>3643</v>
      </c>
      <c r="B969" s="199" t="s">
        <v>3240</v>
      </c>
      <c r="C969" s="199" t="s">
        <v>3637</v>
      </c>
      <c r="D969" s="199" t="s">
        <v>3638</v>
      </c>
      <c r="E969" s="199" t="s">
        <v>3644</v>
      </c>
      <c r="F969" s="200"/>
      <c r="G969" s="201" t="s">
        <v>3645</v>
      </c>
      <c r="H969" s="198"/>
      <c r="I969" s="199"/>
      <c r="J969" s="229"/>
      <c r="K969" s="390"/>
      <c r="L969" s="391"/>
      <c r="M969" s="392"/>
      <c r="N969" s="393"/>
      <c r="O969" s="392"/>
      <c r="P969" s="394"/>
      <c r="Q969" s="570"/>
      <c r="R969" s="571"/>
      <c r="S969" s="572"/>
      <c r="T969" s="573"/>
      <c r="U969" s="572"/>
      <c r="V969" s="574"/>
      <c r="W969" s="756"/>
      <c r="X969" s="757"/>
      <c r="Y969" s="758"/>
      <c r="Z969" s="759"/>
      <c r="AA969" s="758"/>
      <c r="AB969" s="760"/>
      <c r="AC969" s="902"/>
      <c r="AD969" s="903"/>
      <c r="AE969" s="904"/>
      <c r="AF969" s="905"/>
      <c r="AG969" s="904"/>
      <c r="AH969" s="992"/>
      <c r="AI969" s="951" t="s">
        <v>2013</v>
      </c>
    </row>
    <row r="970" spans="1:35" ht="39" x14ac:dyDescent="0.25">
      <c r="A970" s="198" t="s">
        <v>3646</v>
      </c>
      <c r="B970" s="199" t="s">
        <v>3240</v>
      </c>
      <c r="C970" s="199" t="s">
        <v>3637</v>
      </c>
      <c r="D970" s="199" t="s">
        <v>3638</v>
      </c>
      <c r="E970" s="199" t="s">
        <v>3647</v>
      </c>
      <c r="F970" s="200"/>
      <c r="G970" s="201" t="s">
        <v>3648</v>
      </c>
      <c r="H970" s="198"/>
      <c r="I970" s="199"/>
      <c r="J970" s="229"/>
      <c r="K970" s="390"/>
      <c r="L970" s="391"/>
      <c r="M970" s="392"/>
      <c r="N970" s="393"/>
      <c r="O970" s="392"/>
      <c r="P970" s="394"/>
      <c r="Q970" s="570"/>
      <c r="R970" s="571"/>
      <c r="S970" s="572"/>
      <c r="T970" s="573"/>
      <c r="U970" s="572"/>
      <c r="V970" s="574"/>
      <c r="W970" s="756"/>
      <c r="X970" s="757"/>
      <c r="Y970" s="758"/>
      <c r="Z970" s="759"/>
      <c r="AA970" s="758"/>
      <c r="AB970" s="760"/>
      <c r="AC970" s="902"/>
      <c r="AD970" s="903"/>
      <c r="AE970" s="904"/>
      <c r="AF970" s="905"/>
      <c r="AG970" s="904"/>
      <c r="AH970" s="992"/>
      <c r="AI970" s="951" t="s">
        <v>2013</v>
      </c>
    </row>
    <row r="971" spans="1:35" x14ac:dyDescent="0.25">
      <c r="A971" s="198" t="s">
        <v>3649</v>
      </c>
      <c r="B971" s="199" t="s">
        <v>3240</v>
      </c>
      <c r="C971" s="199" t="s">
        <v>3637</v>
      </c>
      <c r="D971" s="199" t="s">
        <v>3638</v>
      </c>
      <c r="E971" s="199"/>
      <c r="F971" s="200"/>
      <c r="G971" s="201" t="s">
        <v>3638</v>
      </c>
      <c r="H971" s="198"/>
      <c r="I971" s="199"/>
      <c r="J971" s="229"/>
      <c r="K971" s="390"/>
      <c r="L971" s="391"/>
      <c r="M971" s="392"/>
      <c r="N971" s="393"/>
      <c r="O971" s="392"/>
      <c r="P971" s="394"/>
      <c r="Q971" s="570"/>
      <c r="R971" s="571"/>
      <c r="S971" s="572"/>
      <c r="T971" s="573"/>
      <c r="U971" s="572"/>
      <c r="V971" s="574"/>
      <c r="W971" s="756"/>
      <c r="X971" s="757"/>
      <c r="Y971" s="758"/>
      <c r="Z971" s="759"/>
      <c r="AA971" s="758"/>
      <c r="AB971" s="760"/>
      <c r="AC971" s="902"/>
      <c r="AD971" s="903"/>
      <c r="AE971" s="904"/>
      <c r="AF971" s="905"/>
      <c r="AG971" s="904"/>
      <c r="AH971" s="992"/>
      <c r="AI971" s="951"/>
    </row>
    <row r="972" spans="1:35" x14ac:dyDescent="0.25">
      <c r="A972" s="198" t="s">
        <v>3650</v>
      </c>
      <c r="B972" s="199" t="s">
        <v>3240</v>
      </c>
      <c r="C972" s="199" t="s">
        <v>3651</v>
      </c>
      <c r="D972" s="199" t="s">
        <v>3652</v>
      </c>
      <c r="E972" s="199"/>
      <c r="F972" s="200"/>
      <c r="G972" s="201" t="s">
        <v>3652</v>
      </c>
      <c r="H972" s="198"/>
      <c r="I972" s="199"/>
      <c r="J972" s="229"/>
      <c r="K972" s="390"/>
      <c r="L972" s="391"/>
      <c r="M972" s="392"/>
      <c r="N972" s="393"/>
      <c r="O972" s="392"/>
      <c r="P972" s="394"/>
      <c r="Q972" s="570"/>
      <c r="R972" s="571"/>
      <c r="S972" s="572"/>
      <c r="T972" s="573"/>
      <c r="U972" s="572"/>
      <c r="V972" s="574"/>
      <c r="W972" s="756"/>
      <c r="X972" s="757"/>
      <c r="Y972" s="758"/>
      <c r="Z972" s="759"/>
      <c r="AA972" s="758"/>
      <c r="AB972" s="760"/>
      <c r="AC972" s="902"/>
      <c r="AD972" s="903"/>
      <c r="AE972" s="904"/>
      <c r="AF972" s="905"/>
      <c r="AG972" s="904"/>
      <c r="AH972" s="992"/>
      <c r="AI972" s="951" t="s">
        <v>3653</v>
      </c>
    </row>
    <row r="973" spans="1:35" ht="26.25" x14ac:dyDescent="0.25">
      <c r="A973" s="198" t="s">
        <v>3654</v>
      </c>
      <c r="B973" s="199" t="s">
        <v>3240</v>
      </c>
      <c r="C973" s="199" t="s">
        <v>3651</v>
      </c>
      <c r="D973" s="199" t="s">
        <v>3655</v>
      </c>
      <c r="E973" s="199"/>
      <c r="F973" s="200"/>
      <c r="G973" s="201" t="s">
        <v>3655</v>
      </c>
      <c r="H973" s="198"/>
      <c r="I973" s="199"/>
      <c r="J973" s="229"/>
      <c r="K973" s="390"/>
      <c r="L973" s="391"/>
      <c r="M973" s="392"/>
      <c r="N973" s="393"/>
      <c r="O973" s="392"/>
      <c r="P973" s="394"/>
      <c r="Q973" s="570"/>
      <c r="R973" s="571"/>
      <c r="S973" s="572"/>
      <c r="T973" s="573"/>
      <c r="U973" s="572"/>
      <c r="V973" s="574"/>
      <c r="W973" s="756"/>
      <c r="X973" s="757"/>
      <c r="Y973" s="758"/>
      <c r="Z973" s="759"/>
      <c r="AA973" s="758"/>
      <c r="AB973" s="760"/>
      <c r="AC973" s="902"/>
      <c r="AD973" s="903"/>
      <c r="AE973" s="904"/>
      <c r="AF973" s="905"/>
      <c r="AG973" s="904"/>
      <c r="AH973" s="992"/>
      <c r="AI973" s="951" t="s">
        <v>3656</v>
      </c>
    </row>
    <row r="974" spans="1:35" ht="39" x14ac:dyDescent="0.25">
      <c r="A974" s="198" t="s">
        <v>3657</v>
      </c>
      <c r="B974" s="199" t="s">
        <v>3240</v>
      </c>
      <c r="C974" s="199" t="s">
        <v>3651</v>
      </c>
      <c r="D974" s="199" t="s">
        <v>3658</v>
      </c>
      <c r="E974" s="199" t="s">
        <v>3659</v>
      </c>
      <c r="F974" s="200"/>
      <c r="G974" s="201" t="s">
        <v>3660</v>
      </c>
      <c r="H974" s="198"/>
      <c r="I974" s="199"/>
      <c r="J974" s="229"/>
      <c r="K974" s="390"/>
      <c r="L974" s="391"/>
      <c r="M974" s="392"/>
      <c r="N974" s="393"/>
      <c r="O974" s="392"/>
      <c r="P974" s="394"/>
      <c r="Q974" s="570"/>
      <c r="R974" s="571"/>
      <c r="S974" s="572"/>
      <c r="T974" s="573"/>
      <c r="U974" s="572"/>
      <c r="V974" s="574"/>
      <c r="W974" s="756"/>
      <c r="X974" s="757"/>
      <c r="Y974" s="758"/>
      <c r="Z974" s="759"/>
      <c r="AA974" s="758"/>
      <c r="AB974" s="760"/>
      <c r="AC974" s="902"/>
      <c r="AD974" s="903"/>
      <c r="AE974" s="904"/>
      <c r="AF974" s="905"/>
      <c r="AG974" s="904"/>
      <c r="AH974" s="992"/>
      <c r="AI974" s="951"/>
    </row>
    <row r="975" spans="1:35" ht="39" x14ac:dyDescent="0.25">
      <c r="A975" s="198" t="s">
        <v>3661</v>
      </c>
      <c r="B975" s="199" t="s">
        <v>3240</v>
      </c>
      <c r="C975" s="199" t="s">
        <v>3651</v>
      </c>
      <c r="D975" s="199" t="s">
        <v>3658</v>
      </c>
      <c r="E975" s="199" t="s">
        <v>3662</v>
      </c>
      <c r="F975" s="200"/>
      <c r="G975" s="201" t="s">
        <v>3663</v>
      </c>
      <c r="H975" s="198"/>
      <c r="I975" s="199"/>
      <c r="J975" s="229"/>
      <c r="K975" s="390"/>
      <c r="L975" s="391"/>
      <c r="M975" s="392"/>
      <c r="N975" s="393"/>
      <c r="O975" s="392"/>
      <c r="P975" s="394"/>
      <c r="Q975" s="570"/>
      <c r="R975" s="571"/>
      <c r="S975" s="572"/>
      <c r="T975" s="573"/>
      <c r="U975" s="572"/>
      <c r="V975" s="574"/>
      <c r="W975" s="756"/>
      <c r="X975" s="757"/>
      <c r="Y975" s="758"/>
      <c r="Z975" s="759"/>
      <c r="AA975" s="758"/>
      <c r="AB975" s="760"/>
      <c r="AC975" s="902"/>
      <c r="AD975" s="903"/>
      <c r="AE975" s="904"/>
      <c r="AF975" s="905"/>
      <c r="AG975" s="904"/>
      <c r="AH975" s="992"/>
      <c r="AI975" s="951"/>
    </row>
    <row r="976" spans="1:35" ht="39" x14ac:dyDescent="0.25">
      <c r="A976" s="198" t="s">
        <v>3664</v>
      </c>
      <c r="B976" s="199" t="s">
        <v>3240</v>
      </c>
      <c r="C976" s="199" t="s">
        <v>3651</v>
      </c>
      <c r="D976" s="199" t="s">
        <v>3658</v>
      </c>
      <c r="E976" s="199" t="s">
        <v>3665</v>
      </c>
      <c r="F976" s="200"/>
      <c r="G976" s="201" t="s">
        <v>3666</v>
      </c>
      <c r="H976" s="198"/>
      <c r="I976" s="199"/>
      <c r="J976" s="229"/>
      <c r="K976" s="390"/>
      <c r="L976" s="391"/>
      <c r="M976" s="392"/>
      <c r="N976" s="393"/>
      <c r="O976" s="392"/>
      <c r="P976" s="394"/>
      <c r="Q976" s="570"/>
      <c r="R976" s="571"/>
      <c r="S976" s="572"/>
      <c r="T976" s="573"/>
      <c r="U976" s="572"/>
      <c r="V976" s="574"/>
      <c r="W976" s="756"/>
      <c r="X976" s="757"/>
      <c r="Y976" s="758"/>
      <c r="Z976" s="759"/>
      <c r="AA976" s="758"/>
      <c r="AB976" s="760"/>
      <c r="AC976" s="902"/>
      <c r="AD976" s="903"/>
      <c r="AE976" s="904"/>
      <c r="AF976" s="905"/>
      <c r="AG976" s="904"/>
      <c r="AH976" s="992"/>
      <c r="AI976" s="951"/>
    </row>
    <row r="977" spans="1:35" ht="39" x14ac:dyDescent="0.25">
      <c r="A977" s="198" t="s">
        <v>3667</v>
      </c>
      <c r="B977" s="199" t="s">
        <v>3240</v>
      </c>
      <c r="C977" s="199" t="s">
        <v>3651</v>
      </c>
      <c r="D977" s="199" t="s">
        <v>3658</v>
      </c>
      <c r="E977" s="199" t="s">
        <v>3668</v>
      </c>
      <c r="F977" s="200"/>
      <c r="G977" s="201" t="s">
        <v>3669</v>
      </c>
      <c r="H977" s="198"/>
      <c r="I977" s="199"/>
      <c r="J977" s="229"/>
      <c r="K977" s="390"/>
      <c r="L977" s="391"/>
      <c r="M977" s="392"/>
      <c r="N977" s="393"/>
      <c r="O977" s="392"/>
      <c r="P977" s="394"/>
      <c r="Q977" s="570"/>
      <c r="R977" s="571"/>
      <c r="S977" s="572"/>
      <c r="T977" s="573"/>
      <c r="U977" s="572"/>
      <c r="V977" s="574"/>
      <c r="W977" s="756"/>
      <c r="X977" s="757"/>
      <c r="Y977" s="758"/>
      <c r="Z977" s="759"/>
      <c r="AA977" s="758"/>
      <c r="AB977" s="760"/>
      <c r="AC977" s="902"/>
      <c r="AD977" s="903"/>
      <c r="AE977" s="904"/>
      <c r="AF977" s="905"/>
      <c r="AG977" s="904"/>
      <c r="AH977" s="992"/>
      <c r="AI977" s="951"/>
    </row>
    <row r="978" spans="1:35" ht="39" x14ac:dyDescent="0.25">
      <c r="A978" s="198" t="s">
        <v>3670</v>
      </c>
      <c r="B978" s="199" t="s">
        <v>3240</v>
      </c>
      <c r="C978" s="199" t="s">
        <v>3651</v>
      </c>
      <c r="D978" s="199" t="s">
        <v>3658</v>
      </c>
      <c r="E978" s="199" t="s">
        <v>3671</v>
      </c>
      <c r="F978" s="200"/>
      <c r="G978" s="201" t="s">
        <v>3672</v>
      </c>
      <c r="H978" s="198"/>
      <c r="I978" s="199"/>
      <c r="J978" s="229"/>
      <c r="K978" s="390"/>
      <c r="L978" s="391"/>
      <c r="M978" s="392"/>
      <c r="N978" s="393"/>
      <c r="O978" s="392"/>
      <c r="P978" s="394"/>
      <c r="Q978" s="570"/>
      <c r="R978" s="571"/>
      <c r="S978" s="572"/>
      <c r="T978" s="573"/>
      <c r="U978" s="572"/>
      <c r="V978" s="574"/>
      <c r="W978" s="756"/>
      <c r="X978" s="757"/>
      <c r="Y978" s="758"/>
      <c r="Z978" s="759"/>
      <c r="AA978" s="758"/>
      <c r="AB978" s="760"/>
      <c r="AC978" s="902"/>
      <c r="AD978" s="903"/>
      <c r="AE978" s="904"/>
      <c r="AF978" s="905"/>
      <c r="AG978" s="904"/>
      <c r="AH978" s="992"/>
      <c r="AI978" s="951"/>
    </row>
    <row r="979" spans="1:35" ht="39" x14ac:dyDescent="0.25">
      <c r="A979" s="198" t="s">
        <v>3673</v>
      </c>
      <c r="B979" s="199" t="s">
        <v>3240</v>
      </c>
      <c r="C979" s="199" t="s">
        <v>3651</v>
      </c>
      <c r="D979" s="199" t="s">
        <v>3658</v>
      </c>
      <c r="E979" s="199"/>
      <c r="F979" s="200"/>
      <c r="G979" s="201" t="s">
        <v>3658</v>
      </c>
      <c r="H979" s="198"/>
      <c r="I979" s="199"/>
      <c r="J979" s="229"/>
      <c r="K979" s="390"/>
      <c r="L979" s="391"/>
      <c r="M979" s="392"/>
      <c r="N979" s="393"/>
      <c r="O979" s="392"/>
      <c r="P979" s="394"/>
      <c r="Q979" s="570"/>
      <c r="R979" s="571"/>
      <c r="S979" s="572"/>
      <c r="T979" s="573"/>
      <c r="U979" s="572"/>
      <c r="V979" s="574"/>
      <c r="W979" s="756"/>
      <c r="X979" s="757"/>
      <c r="Y979" s="758"/>
      <c r="Z979" s="759"/>
      <c r="AA979" s="758"/>
      <c r="AB979" s="760"/>
      <c r="AC979" s="902"/>
      <c r="AD979" s="903"/>
      <c r="AE979" s="904"/>
      <c r="AF979" s="905"/>
      <c r="AG979" s="904"/>
      <c r="AH979" s="992"/>
      <c r="AI979" s="951"/>
    </row>
    <row r="980" spans="1:35" ht="26.25" x14ac:dyDescent="0.25">
      <c r="A980" s="198" t="s">
        <v>3674</v>
      </c>
      <c r="B980" s="199" t="s">
        <v>3240</v>
      </c>
      <c r="C980" s="199" t="s">
        <v>3651</v>
      </c>
      <c r="D980" s="199" t="s">
        <v>3675</v>
      </c>
      <c r="E980" s="199"/>
      <c r="F980" s="200"/>
      <c r="G980" s="201" t="s">
        <v>3675</v>
      </c>
      <c r="H980" s="198"/>
      <c r="I980" s="199"/>
      <c r="J980" s="229"/>
      <c r="K980" s="390"/>
      <c r="L980" s="391"/>
      <c r="M980" s="392"/>
      <c r="N980" s="393"/>
      <c r="O980" s="392"/>
      <c r="P980" s="394"/>
      <c r="Q980" s="570"/>
      <c r="R980" s="571"/>
      <c r="S980" s="572"/>
      <c r="T980" s="573"/>
      <c r="U980" s="572"/>
      <c r="V980" s="574"/>
      <c r="W980" s="756"/>
      <c r="X980" s="757"/>
      <c r="Y980" s="758"/>
      <c r="Z980" s="759"/>
      <c r="AA980" s="758"/>
      <c r="AB980" s="760"/>
      <c r="AC980" s="902"/>
      <c r="AD980" s="903"/>
      <c r="AE980" s="904"/>
      <c r="AF980" s="905"/>
      <c r="AG980" s="904"/>
      <c r="AH980" s="992"/>
      <c r="AI980" s="951" t="s">
        <v>3676</v>
      </c>
    </row>
    <row r="981" spans="1:35" x14ac:dyDescent="0.25">
      <c r="A981" s="198" t="s">
        <v>3677</v>
      </c>
      <c r="B981" s="199" t="s">
        <v>3240</v>
      </c>
      <c r="C981" s="199" t="s">
        <v>3651</v>
      </c>
      <c r="D981" s="199" t="s">
        <v>3678</v>
      </c>
      <c r="E981" s="199"/>
      <c r="F981" s="200"/>
      <c r="G981" s="201" t="s">
        <v>3678</v>
      </c>
      <c r="H981" s="198"/>
      <c r="I981" s="199"/>
      <c r="J981" s="229"/>
      <c r="K981" s="390"/>
      <c r="L981" s="391"/>
      <c r="M981" s="392"/>
      <c r="N981" s="393"/>
      <c r="O981" s="392"/>
      <c r="P981" s="394"/>
      <c r="Q981" s="570"/>
      <c r="R981" s="571"/>
      <c r="S981" s="572"/>
      <c r="T981" s="573"/>
      <c r="U981" s="572"/>
      <c r="V981" s="574"/>
      <c r="W981" s="756"/>
      <c r="X981" s="757"/>
      <c r="Y981" s="758"/>
      <c r="Z981" s="759"/>
      <c r="AA981" s="758"/>
      <c r="AB981" s="760"/>
      <c r="AC981" s="902"/>
      <c r="AD981" s="903"/>
      <c r="AE981" s="904"/>
      <c r="AF981" s="905"/>
      <c r="AG981" s="904"/>
      <c r="AH981" s="992"/>
      <c r="AI981" s="951"/>
    </row>
    <row r="982" spans="1:35" x14ac:dyDescent="0.25">
      <c r="A982" s="198" t="s">
        <v>3679</v>
      </c>
      <c r="B982" s="199" t="s">
        <v>3240</v>
      </c>
      <c r="C982" s="199" t="s">
        <v>3651</v>
      </c>
      <c r="D982" s="199" t="s">
        <v>3680</v>
      </c>
      <c r="E982" s="199"/>
      <c r="F982" s="200"/>
      <c r="G982" s="201" t="s">
        <v>3680</v>
      </c>
      <c r="H982" s="198"/>
      <c r="I982" s="199"/>
      <c r="J982" s="229"/>
      <c r="K982" s="390"/>
      <c r="L982" s="391"/>
      <c r="M982" s="392"/>
      <c r="N982" s="393"/>
      <c r="O982" s="392"/>
      <c r="P982" s="394"/>
      <c r="Q982" s="570"/>
      <c r="R982" s="571"/>
      <c r="S982" s="572"/>
      <c r="T982" s="573"/>
      <c r="U982" s="572"/>
      <c r="V982" s="574"/>
      <c r="W982" s="756"/>
      <c r="X982" s="757"/>
      <c r="Y982" s="758"/>
      <c r="Z982" s="759"/>
      <c r="AA982" s="758"/>
      <c r="AB982" s="760"/>
      <c r="AC982" s="902"/>
      <c r="AD982" s="903"/>
      <c r="AE982" s="904"/>
      <c r="AF982" s="905"/>
      <c r="AG982" s="904"/>
      <c r="AH982" s="992"/>
      <c r="AI982" s="951"/>
    </row>
    <row r="983" spans="1:35" x14ac:dyDescent="0.25">
      <c r="A983" s="198" t="s">
        <v>3681</v>
      </c>
      <c r="B983" s="199" t="s">
        <v>3240</v>
      </c>
      <c r="C983" s="199" t="s">
        <v>3651</v>
      </c>
      <c r="D983" s="199" t="s">
        <v>3682</v>
      </c>
      <c r="E983" s="199"/>
      <c r="F983" s="200"/>
      <c r="G983" s="201" t="s">
        <v>3682</v>
      </c>
      <c r="H983" s="198"/>
      <c r="I983" s="199"/>
      <c r="J983" s="229"/>
      <c r="K983" s="390"/>
      <c r="L983" s="391"/>
      <c r="M983" s="392"/>
      <c r="N983" s="393"/>
      <c r="O983" s="392"/>
      <c r="P983" s="394"/>
      <c r="Q983" s="570"/>
      <c r="R983" s="571"/>
      <c r="S983" s="572"/>
      <c r="T983" s="573"/>
      <c r="U983" s="572"/>
      <c r="V983" s="574"/>
      <c r="W983" s="756"/>
      <c r="X983" s="757"/>
      <c r="Y983" s="758"/>
      <c r="Z983" s="759"/>
      <c r="AA983" s="758"/>
      <c r="AB983" s="760"/>
      <c r="AC983" s="902"/>
      <c r="AD983" s="903"/>
      <c r="AE983" s="904"/>
      <c r="AF983" s="905"/>
      <c r="AG983" s="904"/>
      <c r="AH983" s="992"/>
      <c r="AI983" s="951"/>
    </row>
    <row r="984" spans="1:35" x14ac:dyDescent="0.25">
      <c r="A984" s="198" t="s">
        <v>3683</v>
      </c>
      <c r="B984" s="199" t="s">
        <v>3240</v>
      </c>
      <c r="C984" s="199" t="s">
        <v>3651</v>
      </c>
      <c r="D984" s="199" t="s">
        <v>3684</v>
      </c>
      <c r="E984" s="199"/>
      <c r="F984" s="200"/>
      <c r="G984" s="201" t="s">
        <v>3684</v>
      </c>
      <c r="H984" s="198"/>
      <c r="I984" s="199"/>
      <c r="J984" s="229"/>
      <c r="K984" s="390"/>
      <c r="L984" s="391"/>
      <c r="M984" s="392"/>
      <c r="N984" s="393"/>
      <c r="O984" s="392"/>
      <c r="P984" s="394"/>
      <c r="Q984" s="570"/>
      <c r="R984" s="571"/>
      <c r="S984" s="572"/>
      <c r="T984" s="573"/>
      <c r="U984" s="572"/>
      <c r="V984" s="574"/>
      <c r="W984" s="756"/>
      <c r="X984" s="757"/>
      <c r="Y984" s="758"/>
      <c r="Z984" s="759"/>
      <c r="AA984" s="758"/>
      <c r="AB984" s="760"/>
      <c r="AC984" s="902"/>
      <c r="AD984" s="903"/>
      <c r="AE984" s="904"/>
      <c r="AF984" s="905"/>
      <c r="AG984" s="904"/>
      <c r="AH984" s="992"/>
      <c r="AI984" s="951" t="s">
        <v>3685</v>
      </c>
    </row>
    <row r="985" spans="1:35" ht="51.75" x14ac:dyDescent="0.25">
      <c r="A985" s="198" t="s">
        <v>3686</v>
      </c>
      <c r="B985" s="199" t="s">
        <v>3240</v>
      </c>
      <c r="C985" s="199" t="s">
        <v>3651</v>
      </c>
      <c r="D985" s="199" t="s">
        <v>3687</v>
      </c>
      <c r="E985" s="199"/>
      <c r="F985" s="200"/>
      <c r="G985" s="201" t="s">
        <v>3687</v>
      </c>
      <c r="H985" s="198"/>
      <c r="I985" s="199"/>
      <c r="J985" s="229"/>
      <c r="K985" s="390"/>
      <c r="L985" s="391"/>
      <c r="M985" s="392"/>
      <c r="N985" s="393"/>
      <c r="O985" s="392"/>
      <c r="P985" s="394"/>
      <c r="Q985" s="570"/>
      <c r="R985" s="571"/>
      <c r="S985" s="572"/>
      <c r="T985" s="573"/>
      <c r="U985" s="572"/>
      <c r="V985" s="574"/>
      <c r="W985" s="756"/>
      <c r="X985" s="757"/>
      <c r="Y985" s="758"/>
      <c r="Z985" s="759"/>
      <c r="AA985" s="758"/>
      <c r="AB985" s="760"/>
      <c r="AC985" s="902"/>
      <c r="AD985" s="903"/>
      <c r="AE985" s="904"/>
      <c r="AF985" s="905"/>
      <c r="AG985" s="904"/>
      <c r="AH985" s="992"/>
      <c r="AI985" s="951" t="s">
        <v>3688</v>
      </c>
    </row>
    <row r="986" spans="1:35" x14ac:dyDescent="0.25">
      <c r="A986" s="198" t="s">
        <v>3689</v>
      </c>
      <c r="B986" s="199" t="s">
        <v>3240</v>
      </c>
      <c r="C986" s="199" t="s">
        <v>3651</v>
      </c>
      <c r="D986" s="199" t="s">
        <v>3690</v>
      </c>
      <c r="E986" s="199"/>
      <c r="F986" s="200"/>
      <c r="G986" s="201" t="s">
        <v>3690</v>
      </c>
      <c r="H986" s="198"/>
      <c r="I986" s="199"/>
      <c r="J986" s="229"/>
      <c r="K986" s="390"/>
      <c r="L986" s="391"/>
      <c r="M986" s="392"/>
      <c r="N986" s="393"/>
      <c r="O986" s="392"/>
      <c r="P986" s="394"/>
      <c r="Q986" s="570"/>
      <c r="R986" s="571"/>
      <c r="S986" s="572"/>
      <c r="T986" s="573"/>
      <c r="U986" s="572"/>
      <c r="V986" s="574"/>
      <c r="W986" s="756"/>
      <c r="X986" s="757"/>
      <c r="Y986" s="758"/>
      <c r="Z986" s="759"/>
      <c r="AA986" s="758"/>
      <c r="AB986" s="760"/>
      <c r="AC986" s="902"/>
      <c r="AD986" s="903"/>
      <c r="AE986" s="904"/>
      <c r="AF986" s="905"/>
      <c r="AG986" s="904"/>
      <c r="AH986" s="992"/>
      <c r="AI986" s="951" t="s">
        <v>3691</v>
      </c>
    </row>
    <row r="987" spans="1:35" ht="26.25" x14ac:dyDescent="0.25">
      <c r="A987" s="198" t="s">
        <v>3692</v>
      </c>
      <c r="B987" s="199" t="s">
        <v>3240</v>
      </c>
      <c r="C987" s="199" t="s">
        <v>3651</v>
      </c>
      <c r="D987" s="199" t="s">
        <v>3693</v>
      </c>
      <c r="E987" s="199"/>
      <c r="F987" s="200"/>
      <c r="G987" s="201" t="s">
        <v>3693</v>
      </c>
      <c r="H987" s="198"/>
      <c r="I987" s="199"/>
      <c r="J987" s="229"/>
      <c r="K987" s="390"/>
      <c r="L987" s="391"/>
      <c r="M987" s="392"/>
      <c r="N987" s="393"/>
      <c r="O987" s="392"/>
      <c r="P987" s="394"/>
      <c r="Q987" s="570"/>
      <c r="R987" s="571"/>
      <c r="S987" s="572"/>
      <c r="T987" s="573"/>
      <c r="U987" s="572"/>
      <c r="V987" s="574"/>
      <c r="W987" s="756"/>
      <c r="X987" s="757"/>
      <c r="Y987" s="758"/>
      <c r="Z987" s="759"/>
      <c r="AA987" s="758"/>
      <c r="AB987" s="760"/>
      <c r="AC987" s="902"/>
      <c r="AD987" s="903"/>
      <c r="AE987" s="904"/>
      <c r="AF987" s="905"/>
      <c r="AG987" s="904"/>
      <c r="AH987" s="992"/>
      <c r="AI987" s="951" t="s">
        <v>3694</v>
      </c>
    </row>
    <row r="988" spans="1:35" ht="26.25" x14ac:dyDescent="0.25">
      <c r="A988" s="198" t="s">
        <v>3695</v>
      </c>
      <c r="B988" s="199" t="s">
        <v>3240</v>
      </c>
      <c r="C988" s="199" t="s">
        <v>3651</v>
      </c>
      <c r="D988" s="199" t="s">
        <v>3696</v>
      </c>
      <c r="E988" s="199"/>
      <c r="F988" s="200"/>
      <c r="G988" s="201" t="s">
        <v>3696</v>
      </c>
      <c r="H988" s="198"/>
      <c r="I988" s="199"/>
      <c r="J988" s="229"/>
      <c r="K988" s="390"/>
      <c r="L988" s="391"/>
      <c r="M988" s="392"/>
      <c r="N988" s="393"/>
      <c r="O988" s="392"/>
      <c r="P988" s="394"/>
      <c r="Q988" s="570"/>
      <c r="R988" s="571"/>
      <c r="S988" s="572"/>
      <c r="T988" s="573"/>
      <c r="U988" s="572"/>
      <c r="V988" s="574"/>
      <c r="W988" s="756"/>
      <c r="X988" s="757"/>
      <c r="Y988" s="758"/>
      <c r="Z988" s="759"/>
      <c r="AA988" s="758"/>
      <c r="AB988" s="760"/>
      <c r="AC988" s="902"/>
      <c r="AD988" s="903"/>
      <c r="AE988" s="904"/>
      <c r="AF988" s="905"/>
      <c r="AG988" s="904"/>
      <c r="AH988" s="992"/>
      <c r="AI988" s="951" t="s">
        <v>3697</v>
      </c>
    </row>
    <row r="989" spans="1:35" ht="26.25" x14ac:dyDescent="0.25">
      <c r="A989" s="198" t="s">
        <v>3698</v>
      </c>
      <c r="B989" s="199" t="s">
        <v>3240</v>
      </c>
      <c r="C989" s="199" t="s">
        <v>3651</v>
      </c>
      <c r="D989" s="199" t="s">
        <v>3699</v>
      </c>
      <c r="E989" s="199"/>
      <c r="F989" s="200"/>
      <c r="G989" s="201" t="s">
        <v>3699</v>
      </c>
      <c r="H989" s="198"/>
      <c r="I989" s="199"/>
      <c r="J989" s="229"/>
      <c r="K989" s="390"/>
      <c r="L989" s="391"/>
      <c r="M989" s="392"/>
      <c r="N989" s="393"/>
      <c r="O989" s="392"/>
      <c r="P989" s="394"/>
      <c r="Q989" s="570"/>
      <c r="R989" s="571"/>
      <c r="S989" s="572"/>
      <c r="T989" s="573"/>
      <c r="U989" s="572"/>
      <c r="V989" s="574"/>
      <c r="W989" s="756"/>
      <c r="X989" s="757"/>
      <c r="Y989" s="758"/>
      <c r="Z989" s="759"/>
      <c r="AA989" s="758"/>
      <c r="AB989" s="760"/>
      <c r="AC989" s="902"/>
      <c r="AD989" s="903"/>
      <c r="AE989" s="904"/>
      <c r="AF989" s="905"/>
      <c r="AG989" s="904"/>
      <c r="AH989" s="992"/>
      <c r="AI989" s="951"/>
    </row>
    <row r="990" spans="1:35" x14ac:dyDescent="0.25">
      <c r="A990" s="198" t="s">
        <v>3700</v>
      </c>
      <c r="B990" s="199" t="s">
        <v>3240</v>
      </c>
      <c r="C990" s="199" t="s">
        <v>3651</v>
      </c>
      <c r="D990" s="199" t="s">
        <v>3701</v>
      </c>
      <c r="E990" s="199" t="s">
        <v>3702</v>
      </c>
      <c r="F990" s="200"/>
      <c r="G990" s="201" t="s">
        <v>3702</v>
      </c>
      <c r="H990" s="198"/>
      <c r="I990" s="199"/>
      <c r="J990" s="229"/>
      <c r="K990" s="390"/>
      <c r="L990" s="391"/>
      <c r="M990" s="392"/>
      <c r="N990" s="393"/>
      <c r="O990" s="392"/>
      <c r="P990" s="394"/>
      <c r="Q990" s="570"/>
      <c r="R990" s="571"/>
      <c r="S990" s="572"/>
      <c r="T990" s="573"/>
      <c r="U990" s="572"/>
      <c r="V990" s="574"/>
      <c r="W990" s="756"/>
      <c r="X990" s="757"/>
      <c r="Y990" s="758"/>
      <c r="Z990" s="759"/>
      <c r="AA990" s="758"/>
      <c r="AB990" s="760"/>
      <c r="AC990" s="902"/>
      <c r="AD990" s="903"/>
      <c r="AE990" s="904"/>
      <c r="AF990" s="905"/>
      <c r="AG990" s="904"/>
      <c r="AH990" s="992"/>
      <c r="AI990" s="951" t="s">
        <v>3697</v>
      </c>
    </row>
    <row r="991" spans="1:35" ht="26.25" x14ac:dyDescent="0.25">
      <c r="A991" s="198" t="s">
        <v>3703</v>
      </c>
      <c r="B991" s="199" t="s">
        <v>3240</v>
      </c>
      <c r="C991" s="199" t="s">
        <v>3651</v>
      </c>
      <c r="D991" s="199" t="s">
        <v>3701</v>
      </c>
      <c r="E991" s="199" t="s">
        <v>3704</v>
      </c>
      <c r="F991" s="200"/>
      <c r="G991" s="201" t="s">
        <v>3704</v>
      </c>
      <c r="H991" s="198"/>
      <c r="I991" s="199"/>
      <c r="J991" s="229"/>
      <c r="K991" s="390"/>
      <c r="L991" s="391"/>
      <c r="M991" s="392"/>
      <c r="N991" s="393"/>
      <c r="O991" s="392"/>
      <c r="P991" s="394"/>
      <c r="Q991" s="570"/>
      <c r="R991" s="571"/>
      <c r="S991" s="572"/>
      <c r="T991" s="573"/>
      <c r="U991" s="572"/>
      <c r="V991" s="574"/>
      <c r="W991" s="756"/>
      <c r="X991" s="757"/>
      <c r="Y991" s="758"/>
      <c r="Z991" s="759"/>
      <c r="AA991" s="758"/>
      <c r="AB991" s="760"/>
      <c r="AC991" s="902"/>
      <c r="AD991" s="903"/>
      <c r="AE991" s="904"/>
      <c r="AF991" s="905"/>
      <c r="AG991" s="904"/>
      <c r="AH991" s="992"/>
      <c r="AI991" s="951" t="s">
        <v>3697</v>
      </c>
    </row>
    <row r="992" spans="1:35" ht="26.25" x14ac:dyDescent="0.25">
      <c r="A992" s="198" t="s">
        <v>3705</v>
      </c>
      <c r="B992" s="199" t="s">
        <v>3240</v>
      </c>
      <c r="C992" s="199" t="s">
        <v>3651</v>
      </c>
      <c r="D992" s="199" t="s">
        <v>3701</v>
      </c>
      <c r="E992" s="199" t="s">
        <v>3706</v>
      </c>
      <c r="F992" s="200"/>
      <c r="G992" s="201" t="s">
        <v>3706</v>
      </c>
      <c r="H992" s="198"/>
      <c r="I992" s="199"/>
      <c r="J992" s="229"/>
      <c r="K992" s="390"/>
      <c r="L992" s="391"/>
      <c r="M992" s="392"/>
      <c r="N992" s="393"/>
      <c r="O992" s="392"/>
      <c r="P992" s="394"/>
      <c r="Q992" s="570"/>
      <c r="R992" s="571"/>
      <c r="S992" s="572"/>
      <c r="T992" s="573"/>
      <c r="U992" s="572"/>
      <c r="V992" s="574"/>
      <c r="W992" s="756"/>
      <c r="X992" s="757"/>
      <c r="Y992" s="758"/>
      <c r="Z992" s="759"/>
      <c r="AA992" s="758"/>
      <c r="AB992" s="760"/>
      <c r="AC992" s="902"/>
      <c r="AD992" s="903"/>
      <c r="AE992" s="904"/>
      <c r="AF992" s="905"/>
      <c r="AG992" s="904"/>
      <c r="AH992" s="992"/>
      <c r="AI992" s="951" t="s">
        <v>3707</v>
      </c>
    </row>
    <row r="993" spans="1:35" ht="26.25" x14ac:dyDescent="0.25">
      <c r="A993" s="198" t="s">
        <v>3708</v>
      </c>
      <c r="B993" s="199" t="s">
        <v>3240</v>
      </c>
      <c r="C993" s="199" t="s">
        <v>3651</v>
      </c>
      <c r="D993" s="199" t="s">
        <v>3701</v>
      </c>
      <c r="E993" s="199" t="s">
        <v>3709</v>
      </c>
      <c r="F993" s="200"/>
      <c r="G993" s="201" t="s">
        <v>3709</v>
      </c>
      <c r="H993" s="198"/>
      <c r="I993" s="199"/>
      <c r="J993" s="229"/>
      <c r="K993" s="390"/>
      <c r="L993" s="391"/>
      <c r="M993" s="392"/>
      <c r="N993" s="393"/>
      <c r="O993" s="392"/>
      <c r="P993" s="394"/>
      <c r="Q993" s="570"/>
      <c r="R993" s="571"/>
      <c r="S993" s="572"/>
      <c r="T993" s="573"/>
      <c r="U993" s="572"/>
      <c r="V993" s="574"/>
      <c r="W993" s="756"/>
      <c r="X993" s="757"/>
      <c r="Y993" s="758"/>
      <c r="Z993" s="759"/>
      <c r="AA993" s="758"/>
      <c r="AB993" s="760"/>
      <c r="AC993" s="902"/>
      <c r="AD993" s="903"/>
      <c r="AE993" s="904"/>
      <c r="AF993" s="905"/>
      <c r="AG993" s="904"/>
      <c r="AH993" s="992"/>
      <c r="AI993" s="951" t="s">
        <v>3710</v>
      </c>
    </row>
    <row r="994" spans="1:35" ht="26.25" x14ac:dyDescent="0.25">
      <c r="A994" s="198" t="s">
        <v>3711</v>
      </c>
      <c r="B994" s="199" t="s">
        <v>3240</v>
      </c>
      <c r="C994" s="199" t="s">
        <v>3651</v>
      </c>
      <c r="D994" s="199" t="s">
        <v>3701</v>
      </c>
      <c r="E994" s="199" t="s">
        <v>3712</v>
      </c>
      <c r="F994" s="200"/>
      <c r="G994" s="201" t="s">
        <v>3712</v>
      </c>
      <c r="H994" s="198"/>
      <c r="I994" s="199"/>
      <c r="J994" s="229"/>
      <c r="K994" s="390"/>
      <c r="L994" s="391"/>
      <c r="M994" s="392"/>
      <c r="N994" s="393"/>
      <c r="O994" s="392"/>
      <c r="P994" s="394"/>
      <c r="Q994" s="570"/>
      <c r="R994" s="571"/>
      <c r="S994" s="572"/>
      <c r="T994" s="573"/>
      <c r="U994" s="572"/>
      <c r="V994" s="574"/>
      <c r="W994" s="756"/>
      <c r="X994" s="757"/>
      <c r="Y994" s="758"/>
      <c r="Z994" s="759"/>
      <c r="AA994" s="758"/>
      <c r="AB994" s="760"/>
      <c r="AC994" s="902"/>
      <c r="AD994" s="903"/>
      <c r="AE994" s="904"/>
      <c r="AF994" s="905"/>
      <c r="AG994" s="904"/>
      <c r="AH994" s="992"/>
      <c r="AI994" s="951" t="s">
        <v>3697</v>
      </c>
    </row>
    <row r="995" spans="1:35" ht="26.25" x14ac:dyDescent="0.25">
      <c r="A995" s="198" t="s">
        <v>3713</v>
      </c>
      <c r="B995" s="199" t="s">
        <v>3240</v>
      </c>
      <c r="C995" s="199" t="s">
        <v>3651</v>
      </c>
      <c r="D995" s="199" t="s">
        <v>3701</v>
      </c>
      <c r="E995" s="199" t="s">
        <v>3714</v>
      </c>
      <c r="F995" s="200"/>
      <c r="G995" s="201" t="s">
        <v>3714</v>
      </c>
      <c r="H995" s="198"/>
      <c r="I995" s="199"/>
      <c r="J995" s="229"/>
      <c r="K995" s="390"/>
      <c r="L995" s="391"/>
      <c r="M995" s="392"/>
      <c r="N995" s="393"/>
      <c r="O995" s="392"/>
      <c r="P995" s="394"/>
      <c r="Q995" s="570"/>
      <c r="R995" s="571"/>
      <c r="S995" s="572"/>
      <c r="T995" s="573"/>
      <c r="U995" s="572"/>
      <c r="V995" s="574"/>
      <c r="W995" s="756"/>
      <c r="X995" s="757"/>
      <c r="Y995" s="758"/>
      <c r="Z995" s="759"/>
      <c r="AA995" s="758"/>
      <c r="AB995" s="760"/>
      <c r="AC995" s="902"/>
      <c r="AD995" s="903"/>
      <c r="AE995" s="904"/>
      <c r="AF995" s="905"/>
      <c r="AG995" s="904"/>
      <c r="AH995" s="992"/>
      <c r="AI995" s="951" t="s">
        <v>3715</v>
      </c>
    </row>
    <row r="996" spans="1:35" ht="26.25" x14ac:dyDescent="0.25">
      <c r="A996" s="198" t="s">
        <v>3716</v>
      </c>
      <c r="B996" s="199" t="s">
        <v>3240</v>
      </c>
      <c r="C996" s="199" t="s">
        <v>3651</v>
      </c>
      <c r="D996" s="199" t="s">
        <v>3701</v>
      </c>
      <c r="E996" s="199" t="s">
        <v>3717</v>
      </c>
      <c r="F996" s="200"/>
      <c r="G996" s="201" t="s">
        <v>3717</v>
      </c>
      <c r="H996" s="198"/>
      <c r="I996" s="199"/>
      <c r="J996" s="229"/>
      <c r="K996" s="390"/>
      <c r="L996" s="391"/>
      <c r="M996" s="392"/>
      <c r="N996" s="393"/>
      <c r="O996" s="392"/>
      <c r="P996" s="394"/>
      <c r="Q996" s="570"/>
      <c r="R996" s="571"/>
      <c r="S996" s="572"/>
      <c r="T996" s="573"/>
      <c r="U996" s="572"/>
      <c r="V996" s="574"/>
      <c r="W996" s="756"/>
      <c r="X996" s="757"/>
      <c r="Y996" s="758"/>
      <c r="Z996" s="759"/>
      <c r="AA996" s="758"/>
      <c r="AB996" s="760"/>
      <c r="AC996" s="902"/>
      <c r="AD996" s="903"/>
      <c r="AE996" s="904"/>
      <c r="AF996" s="905"/>
      <c r="AG996" s="904"/>
      <c r="AH996" s="992"/>
      <c r="AI996" s="951" t="s">
        <v>3697</v>
      </c>
    </row>
    <row r="997" spans="1:35" ht="39" x14ac:dyDescent="0.25">
      <c r="A997" s="198" t="s">
        <v>3718</v>
      </c>
      <c r="B997" s="199" t="s">
        <v>3240</v>
      </c>
      <c r="C997" s="199" t="s">
        <v>3651</v>
      </c>
      <c r="D997" s="199" t="s">
        <v>3701</v>
      </c>
      <c r="E997" s="199" t="s">
        <v>3719</v>
      </c>
      <c r="F997" s="200"/>
      <c r="G997" s="201" t="s">
        <v>3719</v>
      </c>
      <c r="H997" s="198"/>
      <c r="I997" s="199"/>
      <c r="J997" s="229"/>
      <c r="K997" s="390"/>
      <c r="L997" s="391"/>
      <c r="M997" s="392"/>
      <c r="N997" s="393"/>
      <c r="O997" s="392"/>
      <c r="P997" s="394"/>
      <c r="Q997" s="570"/>
      <c r="R997" s="571"/>
      <c r="S997" s="572"/>
      <c r="T997" s="573"/>
      <c r="U997" s="572"/>
      <c r="V997" s="574"/>
      <c r="W997" s="756"/>
      <c r="X997" s="757"/>
      <c r="Y997" s="758"/>
      <c r="Z997" s="759"/>
      <c r="AA997" s="758"/>
      <c r="AB997" s="760"/>
      <c r="AC997" s="902"/>
      <c r="AD997" s="903"/>
      <c r="AE997" s="904"/>
      <c r="AF997" s="905"/>
      <c r="AG997" s="904"/>
      <c r="AH997" s="992"/>
      <c r="AI997" s="951" t="s">
        <v>3697</v>
      </c>
    </row>
    <row r="998" spans="1:35" x14ac:dyDescent="0.25">
      <c r="A998" s="198" t="s">
        <v>3720</v>
      </c>
      <c r="B998" s="199" t="s">
        <v>3240</v>
      </c>
      <c r="C998" s="199" t="s">
        <v>3651</v>
      </c>
      <c r="D998" s="199" t="s">
        <v>3701</v>
      </c>
      <c r="E998" s="199" t="s">
        <v>3721</v>
      </c>
      <c r="F998" s="200"/>
      <c r="G998" s="201" t="s">
        <v>3721</v>
      </c>
      <c r="H998" s="198"/>
      <c r="I998" s="199"/>
      <c r="J998" s="229"/>
      <c r="K998" s="390"/>
      <c r="L998" s="391"/>
      <c r="M998" s="392"/>
      <c r="N998" s="393"/>
      <c r="O998" s="392"/>
      <c r="P998" s="394"/>
      <c r="Q998" s="570"/>
      <c r="R998" s="571"/>
      <c r="S998" s="572"/>
      <c r="T998" s="573"/>
      <c r="U998" s="572"/>
      <c r="V998" s="574"/>
      <c r="W998" s="756"/>
      <c r="X998" s="757"/>
      <c r="Y998" s="758"/>
      <c r="Z998" s="759"/>
      <c r="AA998" s="758"/>
      <c r="AB998" s="760"/>
      <c r="AC998" s="902"/>
      <c r="AD998" s="903"/>
      <c r="AE998" s="904"/>
      <c r="AF998" s="905"/>
      <c r="AG998" s="904"/>
      <c r="AH998" s="992"/>
      <c r="AI998" s="951" t="s">
        <v>3697</v>
      </c>
    </row>
    <row r="999" spans="1:35" ht="26.25" x14ac:dyDescent="0.25">
      <c r="A999" s="198" t="s">
        <v>3722</v>
      </c>
      <c r="B999" s="199" t="s">
        <v>3240</v>
      </c>
      <c r="C999" s="199" t="s">
        <v>3651</v>
      </c>
      <c r="D999" s="199" t="s">
        <v>3701</v>
      </c>
      <c r="E999" s="199" t="s">
        <v>3723</v>
      </c>
      <c r="F999" s="200"/>
      <c r="G999" s="201" t="s">
        <v>3723</v>
      </c>
      <c r="H999" s="198"/>
      <c r="I999" s="199"/>
      <c r="J999" s="229"/>
      <c r="K999" s="390"/>
      <c r="L999" s="391"/>
      <c r="M999" s="392"/>
      <c r="N999" s="393"/>
      <c r="O999" s="392"/>
      <c r="P999" s="394"/>
      <c r="Q999" s="570"/>
      <c r="R999" s="571"/>
      <c r="S999" s="572"/>
      <c r="T999" s="573"/>
      <c r="U999" s="572"/>
      <c r="V999" s="574"/>
      <c r="W999" s="756"/>
      <c r="X999" s="757"/>
      <c r="Y999" s="758"/>
      <c r="Z999" s="759"/>
      <c r="AA999" s="758"/>
      <c r="AB999" s="760"/>
      <c r="AC999" s="902"/>
      <c r="AD999" s="903"/>
      <c r="AE999" s="904"/>
      <c r="AF999" s="905"/>
      <c r="AG999" s="904"/>
      <c r="AH999" s="992"/>
      <c r="AI999" s="951" t="s">
        <v>3697</v>
      </c>
    </row>
    <row r="1000" spans="1:35" x14ac:dyDescent="0.25">
      <c r="A1000" s="198" t="s">
        <v>3724</v>
      </c>
      <c r="B1000" s="199" t="s">
        <v>3240</v>
      </c>
      <c r="C1000" s="199" t="s">
        <v>3651</v>
      </c>
      <c r="D1000" s="199" t="s">
        <v>3701</v>
      </c>
      <c r="E1000" s="199"/>
      <c r="F1000" s="200"/>
      <c r="G1000" s="201" t="s">
        <v>3701</v>
      </c>
      <c r="H1000" s="198"/>
      <c r="I1000" s="199"/>
      <c r="J1000" s="229"/>
      <c r="K1000" s="390"/>
      <c r="L1000" s="391"/>
      <c r="M1000" s="392"/>
      <c r="N1000" s="393"/>
      <c r="O1000" s="392"/>
      <c r="P1000" s="394"/>
      <c r="Q1000" s="570"/>
      <c r="R1000" s="571"/>
      <c r="S1000" s="572"/>
      <c r="T1000" s="573"/>
      <c r="U1000" s="572"/>
      <c r="V1000" s="574"/>
      <c r="W1000" s="756"/>
      <c r="X1000" s="757"/>
      <c r="Y1000" s="758"/>
      <c r="Z1000" s="759"/>
      <c r="AA1000" s="758"/>
      <c r="AB1000" s="760"/>
      <c r="AC1000" s="902"/>
      <c r="AD1000" s="903"/>
      <c r="AE1000" s="904"/>
      <c r="AF1000" s="905"/>
      <c r="AG1000" s="904"/>
      <c r="AH1000" s="992"/>
      <c r="AI1000" s="951" t="s">
        <v>3725</v>
      </c>
    </row>
    <row r="1001" spans="1:35" ht="51.75" x14ac:dyDescent="0.25">
      <c r="A1001" s="198" t="s">
        <v>3726</v>
      </c>
      <c r="B1001" s="199" t="s">
        <v>3240</v>
      </c>
      <c r="C1001" s="199" t="s">
        <v>3651</v>
      </c>
      <c r="D1001" s="199" t="s">
        <v>3727</v>
      </c>
      <c r="E1001" s="199"/>
      <c r="F1001" s="200"/>
      <c r="G1001" s="201" t="s">
        <v>3727</v>
      </c>
      <c r="H1001" s="198"/>
      <c r="I1001" s="199"/>
      <c r="J1001" s="229"/>
      <c r="K1001" s="390"/>
      <c r="L1001" s="391"/>
      <c r="M1001" s="392"/>
      <c r="N1001" s="393"/>
      <c r="O1001" s="392"/>
      <c r="P1001" s="394"/>
      <c r="Q1001" s="570"/>
      <c r="R1001" s="571"/>
      <c r="S1001" s="572"/>
      <c r="T1001" s="573"/>
      <c r="U1001" s="572"/>
      <c r="V1001" s="574"/>
      <c r="W1001" s="756"/>
      <c r="X1001" s="757"/>
      <c r="Y1001" s="758"/>
      <c r="Z1001" s="759"/>
      <c r="AA1001" s="758"/>
      <c r="AB1001" s="760"/>
      <c r="AC1001" s="902"/>
      <c r="AD1001" s="903"/>
      <c r="AE1001" s="904"/>
      <c r="AF1001" s="905"/>
      <c r="AG1001" s="904"/>
      <c r="AH1001" s="992"/>
      <c r="AI1001" s="951" t="s">
        <v>3728</v>
      </c>
    </row>
    <row r="1002" spans="1:35" ht="26.25" x14ac:dyDescent="0.25">
      <c r="A1002" s="198" t="s">
        <v>3729</v>
      </c>
      <c r="B1002" s="199" t="s">
        <v>3240</v>
      </c>
      <c r="C1002" s="199" t="s">
        <v>3651</v>
      </c>
      <c r="D1002" s="199" t="s">
        <v>3730</v>
      </c>
      <c r="E1002" s="199"/>
      <c r="F1002" s="200"/>
      <c r="G1002" s="201" t="s">
        <v>3730</v>
      </c>
      <c r="H1002" s="198"/>
      <c r="I1002" s="199"/>
      <c r="J1002" s="229"/>
      <c r="K1002" s="390"/>
      <c r="L1002" s="391"/>
      <c r="M1002" s="392"/>
      <c r="N1002" s="393"/>
      <c r="O1002" s="392"/>
      <c r="P1002" s="394"/>
      <c r="Q1002" s="570"/>
      <c r="R1002" s="571"/>
      <c r="S1002" s="572"/>
      <c r="T1002" s="573"/>
      <c r="U1002" s="572"/>
      <c r="V1002" s="574"/>
      <c r="W1002" s="756"/>
      <c r="X1002" s="757"/>
      <c r="Y1002" s="758"/>
      <c r="Z1002" s="759"/>
      <c r="AA1002" s="758"/>
      <c r="AB1002" s="760"/>
      <c r="AC1002" s="902"/>
      <c r="AD1002" s="903"/>
      <c r="AE1002" s="904"/>
      <c r="AF1002" s="905"/>
      <c r="AG1002" s="904"/>
      <c r="AH1002" s="992"/>
      <c r="AI1002" s="951" t="s">
        <v>2759</v>
      </c>
    </row>
    <row r="1003" spans="1:35" x14ac:dyDescent="0.25">
      <c r="A1003" s="198" t="s">
        <v>3731</v>
      </c>
      <c r="B1003" s="199" t="s">
        <v>3240</v>
      </c>
      <c r="C1003" s="199" t="s">
        <v>3732</v>
      </c>
      <c r="D1003" s="199" t="s">
        <v>3733</v>
      </c>
      <c r="E1003" s="199"/>
      <c r="F1003" s="200"/>
      <c r="G1003" s="201" t="s">
        <v>3733</v>
      </c>
      <c r="H1003" s="198"/>
      <c r="I1003" s="199"/>
      <c r="J1003" s="229"/>
      <c r="K1003" s="390"/>
      <c r="L1003" s="391"/>
      <c r="M1003" s="392"/>
      <c r="N1003" s="393"/>
      <c r="O1003" s="392"/>
      <c r="P1003" s="394"/>
      <c r="Q1003" s="570"/>
      <c r="R1003" s="571"/>
      <c r="S1003" s="572"/>
      <c r="T1003" s="573"/>
      <c r="U1003" s="572"/>
      <c r="V1003" s="574"/>
      <c r="W1003" s="756"/>
      <c r="X1003" s="757"/>
      <c r="Y1003" s="758"/>
      <c r="Z1003" s="759"/>
      <c r="AA1003" s="758"/>
      <c r="AB1003" s="760"/>
      <c r="AC1003" s="902"/>
      <c r="AD1003" s="903"/>
      <c r="AE1003" s="904"/>
      <c r="AF1003" s="905"/>
      <c r="AG1003" s="904"/>
      <c r="AH1003" s="992"/>
      <c r="AI1003" s="951" t="s">
        <v>3734</v>
      </c>
    </row>
    <row r="1004" spans="1:35" x14ac:dyDescent="0.25">
      <c r="A1004" s="198" t="s">
        <v>3735</v>
      </c>
      <c r="B1004" s="199" t="s">
        <v>3240</v>
      </c>
      <c r="C1004" s="199" t="s">
        <v>3732</v>
      </c>
      <c r="D1004" s="199" t="s">
        <v>3736</v>
      </c>
      <c r="E1004" s="199" t="s">
        <v>3737</v>
      </c>
      <c r="F1004" s="200"/>
      <c r="G1004" s="201" t="s">
        <v>3738</v>
      </c>
      <c r="H1004" s="198"/>
      <c r="I1004" s="199"/>
      <c r="J1004" s="229"/>
      <c r="K1004" s="390"/>
      <c r="L1004" s="391"/>
      <c r="M1004" s="392"/>
      <c r="N1004" s="393"/>
      <c r="O1004" s="392"/>
      <c r="P1004" s="394"/>
      <c r="Q1004" s="570"/>
      <c r="R1004" s="571"/>
      <c r="S1004" s="572"/>
      <c r="T1004" s="573"/>
      <c r="U1004" s="572"/>
      <c r="V1004" s="574"/>
      <c r="W1004" s="756"/>
      <c r="X1004" s="757"/>
      <c r="Y1004" s="758"/>
      <c r="Z1004" s="759"/>
      <c r="AA1004" s="758"/>
      <c r="AB1004" s="760"/>
      <c r="AC1004" s="902"/>
      <c r="AD1004" s="903"/>
      <c r="AE1004" s="904"/>
      <c r="AF1004" s="905"/>
      <c r="AG1004" s="904"/>
      <c r="AH1004" s="992"/>
      <c r="AI1004" s="951" t="s">
        <v>3739</v>
      </c>
    </row>
    <row r="1005" spans="1:35" x14ac:dyDescent="0.25">
      <c r="A1005" s="198" t="s">
        <v>3740</v>
      </c>
      <c r="B1005" s="199" t="s">
        <v>3240</v>
      </c>
      <c r="C1005" s="199" t="s">
        <v>3732</v>
      </c>
      <c r="D1005" s="199" t="s">
        <v>3736</v>
      </c>
      <c r="E1005" s="199" t="s">
        <v>3741</v>
      </c>
      <c r="F1005" s="200"/>
      <c r="G1005" s="201" t="s">
        <v>3742</v>
      </c>
      <c r="H1005" s="198"/>
      <c r="I1005" s="199"/>
      <c r="J1005" s="229"/>
      <c r="K1005" s="390"/>
      <c r="L1005" s="391"/>
      <c r="M1005" s="392"/>
      <c r="N1005" s="393"/>
      <c r="O1005" s="392"/>
      <c r="P1005" s="394"/>
      <c r="Q1005" s="570"/>
      <c r="R1005" s="571"/>
      <c r="S1005" s="572"/>
      <c r="T1005" s="573"/>
      <c r="U1005" s="572"/>
      <c r="V1005" s="574"/>
      <c r="W1005" s="756"/>
      <c r="X1005" s="757"/>
      <c r="Y1005" s="758"/>
      <c r="Z1005" s="759"/>
      <c r="AA1005" s="758"/>
      <c r="AB1005" s="760"/>
      <c r="AC1005" s="902"/>
      <c r="AD1005" s="903"/>
      <c r="AE1005" s="904"/>
      <c r="AF1005" s="905"/>
      <c r="AG1005" s="904"/>
      <c r="AH1005" s="992"/>
      <c r="AI1005" s="951" t="s">
        <v>3739</v>
      </c>
    </row>
    <row r="1006" spans="1:35" x14ac:dyDescent="0.25">
      <c r="A1006" s="198" t="s">
        <v>3743</v>
      </c>
      <c r="B1006" s="199" t="s">
        <v>3240</v>
      </c>
      <c r="C1006" s="199" t="s">
        <v>3732</v>
      </c>
      <c r="D1006" s="199" t="s">
        <v>3736</v>
      </c>
      <c r="E1006" s="199" t="s">
        <v>3744</v>
      </c>
      <c r="F1006" s="200"/>
      <c r="G1006" s="201" t="s">
        <v>3745</v>
      </c>
      <c r="H1006" s="198"/>
      <c r="I1006" s="199"/>
      <c r="J1006" s="229"/>
      <c r="K1006" s="390"/>
      <c r="L1006" s="391"/>
      <c r="M1006" s="392"/>
      <c r="N1006" s="393"/>
      <c r="O1006" s="392"/>
      <c r="P1006" s="394"/>
      <c r="Q1006" s="570"/>
      <c r="R1006" s="571"/>
      <c r="S1006" s="572"/>
      <c r="T1006" s="573"/>
      <c r="U1006" s="572"/>
      <c r="V1006" s="574"/>
      <c r="W1006" s="756"/>
      <c r="X1006" s="757"/>
      <c r="Y1006" s="758"/>
      <c r="Z1006" s="759"/>
      <c r="AA1006" s="758"/>
      <c r="AB1006" s="760"/>
      <c r="AC1006" s="902"/>
      <c r="AD1006" s="903"/>
      <c r="AE1006" s="904"/>
      <c r="AF1006" s="905"/>
      <c r="AG1006" s="904"/>
      <c r="AH1006" s="992"/>
      <c r="AI1006" s="951" t="s">
        <v>3739</v>
      </c>
    </row>
    <row r="1007" spans="1:35" x14ac:dyDescent="0.25">
      <c r="A1007" s="198" t="s">
        <v>3746</v>
      </c>
      <c r="B1007" s="199" t="s">
        <v>3240</v>
      </c>
      <c r="C1007" s="199" t="s">
        <v>3732</v>
      </c>
      <c r="D1007" s="199" t="s">
        <v>3736</v>
      </c>
      <c r="E1007" s="199"/>
      <c r="F1007" s="200"/>
      <c r="G1007" s="201" t="s">
        <v>3736</v>
      </c>
      <c r="H1007" s="198"/>
      <c r="I1007" s="199"/>
      <c r="J1007" s="229"/>
      <c r="K1007" s="390"/>
      <c r="L1007" s="391"/>
      <c r="M1007" s="392"/>
      <c r="N1007" s="393"/>
      <c r="O1007" s="392"/>
      <c r="P1007" s="394"/>
      <c r="Q1007" s="570"/>
      <c r="R1007" s="571"/>
      <c r="S1007" s="572"/>
      <c r="T1007" s="573"/>
      <c r="U1007" s="572"/>
      <c r="V1007" s="574"/>
      <c r="W1007" s="756"/>
      <c r="X1007" s="757"/>
      <c r="Y1007" s="758"/>
      <c r="Z1007" s="759"/>
      <c r="AA1007" s="758"/>
      <c r="AB1007" s="760"/>
      <c r="AC1007" s="902"/>
      <c r="AD1007" s="903"/>
      <c r="AE1007" s="904"/>
      <c r="AF1007" s="905"/>
      <c r="AG1007" s="904"/>
      <c r="AH1007" s="992"/>
      <c r="AI1007" s="951" t="s">
        <v>3747</v>
      </c>
    </row>
    <row r="1008" spans="1:35" x14ac:dyDescent="0.25">
      <c r="A1008" s="198" t="s">
        <v>3748</v>
      </c>
      <c r="B1008" s="199" t="s">
        <v>3240</v>
      </c>
      <c r="C1008" s="199" t="s">
        <v>3732</v>
      </c>
      <c r="D1008" s="199" t="s">
        <v>3749</v>
      </c>
      <c r="E1008" s="199"/>
      <c r="F1008" s="200"/>
      <c r="G1008" s="201" t="s">
        <v>3749</v>
      </c>
      <c r="H1008" s="198"/>
      <c r="I1008" s="199"/>
      <c r="J1008" s="229"/>
      <c r="K1008" s="390"/>
      <c r="L1008" s="391"/>
      <c r="M1008" s="392"/>
      <c r="N1008" s="393"/>
      <c r="O1008" s="392"/>
      <c r="P1008" s="394"/>
      <c r="Q1008" s="570"/>
      <c r="R1008" s="571"/>
      <c r="S1008" s="572"/>
      <c r="T1008" s="573"/>
      <c r="U1008" s="572"/>
      <c r="V1008" s="574"/>
      <c r="W1008" s="756"/>
      <c r="X1008" s="757"/>
      <c r="Y1008" s="758"/>
      <c r="Z1008" s="759"/>
      <c r="AA1008" s="758"/>
      <c r="AB1008" s="760"/>
      <c r="AC1008" s="902"/>
      <c r="AD1008" s="903"/>
      <c r="AE1008" s="904"/>
      <c r="AF1008" s="905"/>
      <c r="AG1008" s="904"/>
      <c r="AH1008" s="992"/>
      <c r="AI1008" s="951"/>
    </row>
    <row r="1009" spans="1:35" ht="51.75" x14ac:dyDescent="0.25">
      <c r="A1009" s="198" t="s">
        <v>3750</v>
      </c>
      <c r="B1009" s="199" t="s">
        <v>3240</v>
      </c>
      <c r="C1009" s="199" t="s">
        <v>3732</v>
      </c>
      <c r="D1009" s="199" t="s">
        <v>3751</v>
      </c>
      <c r="E1009" s="199" t="s">
        <v>3752</v>
      </c>
      <c r="F1009" s="200"/>
      <c r="G1009" s="201" t="s">
        <v>3753</v>
      </c>
      <c r="H1009" s="198"/>
      <c r="I1009" s="199"/>
      <c r="J1009" s="229"/>
      <c r="K1009" s="390"/>
      <c r="L1009" s="391"/>
      <c r="M1009" s="392"/>
      <c r="N1009" s="393"/>
      <c r="O1009" s="392"/>
      <c r="P1009" s="394"/>
      <c r="Q1009" s="570"/>
      <c r="R1009" s="571"/>
      <c r="S1009" s="572"/>
      <c r="T1009" s="573"/>
      <c r="U1009" s="572"/>
      <c r="V1009" s="574"/>
      <c r="W1009" s="756"/>
      <c r="X1009" s="757"/>
      <c r="Y1009" s="758"/>
      <c r="Z1009" s="759"/>
      <c r="AA1009" s="758"/>
      <c r="AB1009" s="760"/>
      <c r="AC1009" s="902"/>
      <c r="AD1009" s="903"/>
      <c r="AE1009" s="904"/>
      <c r="AF1009" s="905"/>
      <c r="AG1009" s="904"/>
      <c r="AH1009" s="992"/>
      <c r="AI1009" s="951" t="s">
        <v>3754</v>
      </c>
    </row>
    <row r="1010" spans="1:35" ht="51.75" x14ac:dyDescent="0.25">
      <c r="A1010" s="198" t="s">
        <v>3755</v>
      </c>
      <c r="B1010" s="199" t="s">
        <v>3240</v>
      </c>
      <c r="C1010" s="199" t="s">
        <v>3732</v>
      </c>
      <c r="D1010" s="199" t="s">
        <v>3751</v>
      </c>
      <c r="E1010" s="199" t="s">
        <v>3756</v>
      </c>
      <c r="F1010" s="200"/>
      <c r="G1010" s="201" t="s">
        <v>3757</v>
      </c>
      <c r="H1010" s="198"/>
      <c r="I1010" s="199"/>
      <c r="J1010" s="229"/>
      <c r="K1010" s="390"/>
      <c r="L1010" s="391"/>
      <c r="M1010" s="392"/>
      <c r="N1010" s="393"/>
      <c r="O1010" s="392"/>
      <c r="P1010" s="394"/>
      <c r="Q1010" s="570"/>
      <c r="R1010" s="571"/>
      <c r="S1010" s="572"/>
      <c r="T1010" s="573"/>
      <c r="U1010" s="572"/>
      <c r="V1010" s="574"/>
      <c r="W1010" s="756"/>
      <c r="X1010" s="757"/>
      <c r="Y1010" s="758"/>
      <c r="Z1010" s="759"/>
      <c r="AA1010" s="758"/>
      <c r="AB1010" s="760"/>
      <c r="AC1010" s="902"/>
      <c r="AD1010" s="903"/>
      <c r="AE1010" s="904"/>
      <c r="AF1010" s="905"/>
      <c r="AG1010" s="904"/>
      <c r="AH1010" s="992"/>
      <c r="AI1010" s="951" t="s">
        <v>3754</v>
      </c>
    </row>
    <row r="1011" spans="1:35" ht="51.75" x14ac:dyDescent="0.25">
      <c r="A1011" s="198" t="s">
        <v>3758</v>
      </c>
      <c r="B1011" s="199" t="s">
        <v>3240</v>
      </c>
      <c r="C1011" s="199" t="s">
        <v>3732</v>
      </c>
      <c r="D1011" s="199" t="s">
        <v>3751</v>
      </c>
      <c r="E1011" s="199" t="s">
        <v>3759</v>
      </c>
      <c r="F1011" s="200"/>
      <c r="G1011" s="201" t="s">
        <v>3760</v>
      </c>
      <c r="H1011" s="198"/>
      <c r="I1011" s="199"/>
      <c r="J1011" s="229"/>
      <c r="K1011" s="390"/>
      <c r="L1011" s="391"/>
      <c r="M1011" s="392"/>
      <c r="N1011" s="393"/>
      <c r="O1011" s="392"/>
      <c r="P1011" s="394"/>
      <c r="Q1011" s="570"/>
      <c r="R1011" s="571"/>
      <c r="S1011" s="572"/>
      <c r="T1011" s="573"/>
      <c r="U1011" s="572"/>
      <c r="V1011" s="574"/>
      <c r="W1011" s="756"/>
      <c r="X1011" s="757"/>
      <c r="Y1011" s="758"/>
      <c r="Z1011" s="759"/>
      <c r="AA1011" s="758"/>
      <c r="AB1011" s="760"/>
      <c r="AC1011" s="902"/>
      <c r="AD1011" s="903"/>
      <c r="AE1011" s="904"/>
      <c r="AF1011" s="905"/>
      <c r="AG1011" s="904"/>
      <c r="AH1011" s="992"/>
      <c r="AI1011" s="951" t="s">
        <v>3754</v>
      </c>
    </row>
    <row r="1012" spans="1:35" ht="26.25" x14ac:dyDescent="0.25">
      <c r="A1012" s="198" t="s">
        <v>3761</v>
      </c>
      <c r="B1012" s="199" t="s">
        <v>3240</v>
      </c>
      <c r="C1012" s="199" t="s">
        <v>3732</v>
      </c>
      <c r="D1012" s="199" t="s">
        <v>3751</v>
      </c>
      <c r="E1012" s="199"/>
      <c r="F1012" s="200"/>
      <c r="G1012" s="201" t="s">
        <v>3762</v>
      </c>
      <c r="H1012" s="198"/>
      <c r="I1012" s="199"/>
      <c r="J1012" s="229"/>
      <c r="K1012" s="390"/>
      <c r="L1012" s="391"/>
      <c r="M1012" s="392"/>
      <c r="N1012" s="393"/>
      <c r="O1012" s="392"/>
      <c r="P1012" s="394"/>
      <c r="Q1012" s="570"/>
      <c r="R1012" s="571"/>
      <c r="S1012" s="572"/>
      <c r="T1012" s="573"/>
      <c r="U1012" s="572"/>
      <c r="V1012" s="574"/>
      <c r="W1012" s="756"/>
      <c r="X1012" s="757"/>
      <c r="Y1012" s="758"/>
      <c r="Z1012" s="759"/>
      <c r="AA1012" s="758"/>
      <c r="AB1012" s="760"/>
      <c r="AC1012" s="902"/>
      <c r="AD1012" s="903"/>
      <c r="AE1012" s="904"/>
      <c r="AF1012" s="905"/>
      <c r="AG1012" s="904"/>
      <c r="AH1012" s="992"/>
      <c r="AI1012" s="951" t="s">
        <v>3763</v>
      </c>
    </row>
    <row r="1013" spans="1:35" ht="26.25" x14ac:dyDescent="0.25">
      <c r="A1013" s="198" t="s">
        <v>3764</v>
      </c>
      <c r="B1013" s="199" t="s">
        <v>3240</v>
      </c>
      <c r="C1013" s="199" t="s">
        <v>3732</v>
      </c>
      <c r="D1013" s="199" t="s">
        <v>3765</v>
      </c>
      <c r="E1013" s="199"/>
      <c r="F1013" s="200"/>
      <c r="G1013" s="201" t="s">
        <v>3765</v>
      </c>
      <c r="H1013" s="198"/>
      <c r="I1013" s="199"/>
      <c r="J1013" s="229"/>
      <c r="K1013" s="390"/>
      <c r="L1013" s="391"/>
      <c r="M1013" s="392"/>
      <c r="N1013" s="393"/>
      <c r="O1013" s="392"/>
      <c r="P1013" s="394"/>
      <c r="Q1013" s="570"/>
      <c r="R1013" s="571"/>
      <c r="S1013" s="572"/>
      <c r="T1013" s="573"/>
      <c r="U1013" s="572"/>
      <c r="V1013" s="574"/>
      <c r="W1013" s="756"/>
      <c r="X1013" s="757"/>
      <c r="Y1013" s="758"/>
      <c r="Z1013" s="759"/>
      <c r="AA1013" s="758"/>
      <c r="AB1013" s="760"/>
      <c r="AC1013" s="902"/>
      <c r="AD1013" s="903"/>
      <c r="AE1013" s="904"/>
      <c r="AF1013" s="905"/>
      <c r="AG1013" s="904"/>
      <c r="AH1013" s="992"/>
      <c r="AI1013" s="951"/>
    </row>
    <row r="1014" spans="1:35" x14ac:dyDescent="0.25">
      <c r="A1014" s="198" t="s">
        <v>3766</v>
      </c>
      <c r="B1014" s="199" t="s">
        <v>3240</v>
      </c>
      <c r="C1014" s="199" t="s">
        <v>3732</v>
      </c>
      <c r="D1014" s="199" t="s">
        <v>3767</v>
      </c>
      <c r="E1014" s="199"/>
      <c r="F1014" s="200"/>
      <c r="G1014" s="201" t="s">
        <v>3767</v>
      </c>
      <c r="H1014" s="198"/>
      <c r="I1014" s="199"/>
      <c r="J1014" s="229"/>
      <c r="K1014" s="390"/>
      <c r="L1014" s="391"/>
      <c r="M1014" s="392"/>
      <c r="N1014" s="393"/>
      <c r="O1014" s="392"/>
      <c r="P1014" s="394"/>
      <c r="Q1014" s="570"/>
      <c r="R1014" s="571"/>
      <c r="S1014" s="572"/>
      <c r="T1014" s="573"/>
      <c r="U1014" s="572"/>
      <c r="V1014" s="574"/>
      <c r="W1014" s="756"/>
      <c r="X1014" s="757"/>
      <c r="Y1014" s="758"/>
      <c r="Z1014" s="759"/>
      <c r="AA1014" s="758"/>
      <c r="AB1014" s="760"/>
      <c r="AC1014" s="902"/>
      <c r="AD1014" s="903"/>
      <c r="AE1014" s="904"/>
      <c r="AF1014" s="905"/>
      <c r="AG1014" s="904"/>
      <c r="AH1014" s="992"/>
      <c r="AI1014" s="951"/>
    </row>
    <row r="1015" spans="1:35" ht="26.25" x14ac:dyDescent="0.25">
      <c r="A1015" s="198" t="s">
        <v>3768</v>
      </c>
      <c r="B1015" s="199" t="s">
        <v>3240</v>
      </c>
      <c r="C1015" s="199" t="s">
        <v>3732</v>
      </c>
      <c r="D1015" s="199" t="s">
        <v>3769</v>
      </c>
      <c r="E1015" s="199"/>
      <c r="F1015" s="200"/>
      <c r="G1015" s="201" t="s">
        <v>3769</v>
      </c>
      <c r="H1015" s="198"/>
      <c r="I1015" s="199"/>
      <c r="J1015" s="229"/>
      <c r="K1015" s="390"/>
      <c r="L1015" s="391"/>
      <c r="M1015" s="392"/>
      <c r="N1015" s="393"/>
      <c r="O1015" s="392"/>
      <c r="P1015" s="394"/>
      <c r="Q1015" s="570"/>
      <c r="R1015" s="571"/>
      <c r="S1015" s="572"/>
      <c r="T1015" s="573"/>
      <c r="U1015" s="572"/>
      <c r="V1015" s="574"/>
      <c r="W1015" s="756"/>
      <c r="X1015" s="757"/>
      <c r="Y1015" s="758"/>
      <c r="Z1015" s="759"/>
      <c r="AA1015" s="758"/>
      <c r="AB1015" s="760"/>
      <c r="AC1015" s="902"/>
      <c r="AD1015" s="903"/>
      <c r="AE1015" s="904"/>
      <c r="AF1015" s="905"/>
      <c r="AG1015" s="904"/>
      <c r="AH1015" s="992"/>
      <c r="AI1015" s="951"/>
    </row>
    <row r="1016" spans="1:35" x14ac:dyDescent="0.25">
      <c r="A1016" s="198" t="s">
        <v>3770</v>
      </c>
      <c r="B1016" s="199" t="s">
        <v>3240</v>
      </c>
      <c r="C1016" s="199" t="s">
        <v>3732</v>
      </c>
      <c r="D1016" s="199" t="s">
        <v>3771</v>
      </c>
      <c r="E1016" s="199"/>
      <c r="F1016" s="200"/>
      <c r="G1016" s="201" t="s">
        <v>3771</v>
      </c>
      <c r="H1016" s="198"/>
      <c r="I1016" s="199"/>
      <c r="J1016" s="229"/>
      <c r="K1016" s="390"/>
      <c r="L1016" s="391"/>
      <c r="M1016" s="392"/>
      <c r="N1016" s="393"/>
      <c r="O1016" s="392"/>
      <c r="P1016" s="394"/>
      <c r="Q1016" s="570"/>
      <c r="R1016" s="571"/>
      <c r="S1016" s="572"/>
      <c r="T1016" s="573"/>
      <c r="U1016" s="572"/>
      <c r="V1016" s="574"/>
      <c r="W1016" s="756"/>
      <c r="X1016" s="757"/>
      <c r="Y1016" s="758"/>
      <c r="Z1016" s="759"/>
      <c r="AA1016" s="758"/>
      <c r="AB1016" s="760"/>
      <c r="AC1016" s="902"/>
      <c r="AD1016" s="903"/>
      <c r="AE1016" s="904"/>
      <c r="AF1016" s="905"/>
      <c r="AG1016" s="904"/>
      <c r="AH1016" s="992"/>
      <c r="AI1016" s="951"/>
    </row>
    <row r="1017" spans="1:35" x14ac:dyDescent="0.25">
      <c r="A1017" s="198" t="s">
        <v>3772</v>
      </c>
      <c r="B1017" s="199" t="s">
        <v>3240</v>
      </c>
      <c r="C1017" s="199" t="s">
        <v>3732</v>
      </c>
      <c r="D1017" s="199" t="s">
        <v>3773</v>
      </c>
      <c r="E1017" s="199"/>
      <c r="F1017" s="200"/>
      <c r="G1017" s="201" t="s">
        <v>3773</v>
      </c>
      <c r="H1017" s="198"/>
      <c r="I1017" s="199"/>
      <c r="J1017" s="229"/>
      <c r="K1017" s="390"/>
      <c r="L1017" s="391"/>
      <c r="M1017" s="392"/>
      <c r="N1017" s="393"/>
      <c r="O1017" s="392"/>
      <c r="P1017" s="394"/>
      <c r="Q1017" s="570"/>
      <c r="R1017" s="571"/>
      <c r="S1017" s="572"/>
      <c r="T1017" s="573"/>
      <c r="U1017" s="572"/>
      <c r="V1017" s="574"/>
      <c r="W1017" s="756"/>
      <c r="X1017" s="757"/>
      <c r="Y1017" s="758"/>
      <c r="Z1017" s="759"/>
      <c r="AA1017" s="758"/>
      <c r="AB1017" s="760"/>
      <c r="AC1017" s="902"/>
      <c r="AD1017" s="903"/>
      <c r="AE1017" s="904"/>
      <c r="AF1017" s="905"/>
      <c r="AG1017" s="904"/>
      <c r="AH1017" s="992"/>
      <c r="AI1017" s="951"/>
    </row>
    <row r="1018" spans="1:35" x14ac:dyDescent="0.25">
      <c r="A1018" s="198" t="s">
        <v>3774</v>
      </c>
      <c r="B1018" s="199" t="s">
        <v>3240</v>
      </c>
      <c r="C1018" s="199" t="s">
        <v>3732</v>
      </c>
      <c r="D1018" s="199" t="s">
        <v>3775</v>
      </c>
      <c r="E1018" s="199"/>
      <c r="F1018" s="200"/>
      <c r="G1018" s="201" t="s">
        <v>3775</v>
      </c>
      <c r="H1018" s="198"/>
      <c r="I1018" s="199"/>
      <c r="J1018" s="229"/>
      <c r="K1018" s="390"/>
      <c r="L1018" s="391"/>
      <c r="M1018" s="392"/>
      <c r="N1018" s="393"/>
      <c r="O1018" s="392"/>
      <c r="P1018" s="394"/>
      <c r="Q1018" s="570"/>
      <c r="R1018" s="571"/>
      <c r="S1018" s="572"/>
      <c r="T1018" s="573"/>
      <c r="U1018" s="572"/>
      <c r="V1018" s="574"/>
      <c r="W1018" s="756"/>
      <c r="X1018" s="757"/>
      <c r="Y1018" s="758"/>
      <c r="Z1018" s="759"/>
      <c r="AA1018" s="758"/>
      <c r="AB1018" s="760"/>
      <c r="AC1018" s="902"/>
      <c r="AD1018" s="903"/>
      <c r="AE1018" s="904"/>
      <c r="AF1018" s="905"/>
      <c r="AG1018" s="904"/>
      <c r="AH1018" s="992"/>
      <c r="AI1018" s="951" t="s">
        <v>3776</v>
      </c>
    </row>
    <row r="1019" spans="1:35" ht="27" thickBot="1" x14ac:dyDescent="0.3">
      <c r="A1019" s="202" t="s">
        <v>3777</v>
      </c>
      <c r="B1019" s="203" t="s">
        <v>3240</v>
      </c>
      <c r="C1019" s="203" t="s">
        <v>3732</v>
      </c>
      <c r="D1019" s="203" t="s">
        <v>3778</v>
      </c>
      <c r="E1019" s="203"/>
      <c r="F1019" s="204"/>
      <c r="G1019" s="205" t="s">
        <v>3778</v>
      </c>
      <c r="H1019" s="202"/>
      <c r="I1019" s="203"/>
      <c r="J1019" s="230"/>
      <c r="K1019" s="395"/>
      <c r="L1019" s="396"/>
      <c r="M1019" s="397"/>
      <c r="N1019" s="398"/>
      <c r="O1019" s="397"/>
      <c r="P1019" s="399"/>
      <c r="Q1019" s="575"/>
      <c r="R1019" s="576"/>
      <c r="S1019" s="577"/>
      <c r="T1019" s="578"/>
      <c r="U1019" s="577"/>
      <c r="V1019" s="579"/>
      <c r="W1019" s="761"/>
      <c r="X1019" s="762"/>
      <c r="Y1019" s="763"/>
      <c r="Z1019" s="764"/>
      <c r="AA1019" s="763"/>
      <c r="AB1019" s="765"/>
      <c r="AC1019" s="906"/>
      <c r="AD1019" s="907"/>
      <c r="AE1019" s="908"/>
      <c r="AF1019" s="909"/>
      <c r="AG1019" s="908"/>
      <c r="AH1019" s="993"/>
      <c r="AI1019" s="952" t="s">
        <v>3779</v>
      </c>
    </row>
  </sheetData>
  <mergeCells count="2">
    <mergeCell ref="A1:I1"/>
    <mergeCell ref="K1:A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Gibbs</dc:creator>
  <cp:lastModifiedBy>Tim Gibbs</cp:lastModifiedBy>
  <dcterms:created xsi:type="dcterms:W3CDTF">2025-12-04T14:16:56Z</dcterms:created>
  <dcterms:modified xsi:type="dcterms:W3CDTF">2025-12-04T14:26:24Z</dcterms:modified>
</cp:coreProperties>
</file>